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8.xml" ContentType="application/vnd.openxmlformats-officedocument.drawing+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DieseArbeitsmappe"/>
  <mc:AlternateContent xmlns:mc="http://schemas.openxmlformats.org/markup-compatibility/2006">
    <mc:Choice Requires="x15">
      <x15ac:absPath xmlns:x15ac="http://schemas.microsoft.com/office/spreadsheetml/2010/11/ac" url="C:\Users\DanielEmbacherBauamt\Downloads\"/>
    </mc:Choice>
  </mc:AlternateContent>
  <xr:revisionPtr revIDLastSave="0" documentId="13_ncr:1_{A1DD2276-F423-4EE3-95A4-BB3BBCA18018}" xr6:coauthVersionLast="47" xr6:coauthVersionMax="47" xr10:uidLastSave="{00000000-0000-0000-0000-000000000000}"/>
  <workbookProtection workbookAlgorithmName="SHA-512" workbookHashValue="0xuzgbURr1GZzXf+wuQm+klmei9Sy09NsAl3csFraQQrq3cxgvcDNxZmElxspSCopj7qY+4n/58pRZjOeHNeoA==" workbookSaltValue="huL7HLKQK7Q3nUxL2v5XpA==" workbookSpinCount="100000" lockStructure="1"/>
  <bookViews>
    <workbookView xWindow="28680" yWindow="-510" windowWidth="29040" windowHeight="15840" xr2:uid="{00000000-000D-0000-FFFF-FFFF00000000}"/>
  </bookViews>
  <sheets>
    <sheet name="A" sheetId="17" r:id="rId1"/>
    <sheet name="0" sheetId="16" r:id="rId2"/>
    <sheet name="1" sheetId="10" r:id="rId3"/>
    <sheet name="2" sheetId="20" r:id="rId4"/>
    <sheet name="3" sheetId="21" r:id="rId5"/>
    <sheet name="4" sheetId="22" r:id="rId6"/>
    <sheet name="5" sheetId="23" r:id="rId7"/>
    <sheet name="6" sheetId="24" r:id="rId8"/>
    <sheet name="7" sheetId="13" r:id="rId9"/>
    <sheet name="Auswahl" sheetId="3" state="hidden" r:id="rId10"/>
    <sheet name="Tabellen" sheetId="6" state="hidden" r:id="rId11"/>
    <sheet name="Texte" sheetId="7" state="hidden" r:id="rId12"/>
    <sheet name="tmp_Tabelle1" sheetId="15" state="hidden" r:id="rId13"/>
    <sheet name="tmp_energiepreise_test" sheetId="19" state="hidden" r:id="rId14"/>
  </sheets>
  <definedNames>
    <definedName name="Basis_Barwertfaktor">Auswahl!$B$15</definedName>
    <definedName name="Basis_Barwertfaktor_Instandhaltung">Auswahl!$B$19</definedName>
    <definedName name="Basis_Barwertfaktor_Produkte">Auswahl!$B$18</definedName>
    <definedName name="Basis_Betrachtungszeitraum">Auswahl!$B$4</definedName>
    <definedName name="Basis_BGF_Grenze">Auswahl!$E$6</definedName>
    <definedName name="Basis_BK_calc">Tabellen!$BC$5:$BC$10</definedName>
    <definedName name="Basis_BK_PV">Auswahl!$B$33</definedName>
    <definedName name="Basis_BK_TSA">Auswahl!$B$32</definedName>
    <definedName name="Basis_Diskontsatz">Auswahl!$B$20</definedName>
    <definedName name="Basis_Foerderung">Auswahl!$B$21</definedName>
    <definedName name="Basis_Inflation">Auswahl!$B$13</definedName>
    <definedName name="Basis_Kosten_CO2">Auswahl!$B$23</definedName>
    <definedName name="Basis_Lager">Auswahl!$E$7</definedName>
    <definedName name="Basis_Marktzins">Auswahl!$B$12</definedName>
    <definedName name="Basis_mod_Betrieb">Auswahl!$B$29</definedName>
    <definedName name="Basis_mod_eAWZ">Auswahl!$B$26</definedName>
    <definedName name="Basis_mod_Energieberechnung">Auswahl!$B$27</definedName>
    <definedName name="Basis_mod_Energiekosten">Auswahl!$B$28</definedName>
    <definedName name="Basis_mod_HWB">Auswahl!$B$24</definedName>
    <definedName name="Basis_mod_WWWB">Auswahl!$B$25</definedName>
    <definedName name="Basis_Preisentwicklung_Instandhaltung">Auswahl!$B$17</definedName>
    <definedName name="Basis_Preisentwicklung_Produkte">Auswahl!$B$16</definedName>
    <definedName name="Basis_Realzins">Auswahl!$B$14</definedName>
    <definedName name="Basis_Status">Auswahl!$I$11</definedName>
    <definedName name="Basis_Steuersatz">Auswahl!$B$22</definedName>
    <definedName name="Basis_WW_dezentral">Auswahl!$B$11</definedName>
    <definedName name="BestandRH_Select">Auswahl!$B$34</definedName>
    <definedName name="_xlnm.Print_Area" localSheetId="1">'0'!$B$9:$P$45</definedName>
    <definedName name="_xlnm.Print_Area" localSheetId="2">'1'!$B$9:$M$51</definedName>
    <definedName name="_xlnm.Print_Area" localSheetId="3">'2'!$B$9:$M$46</definedName>
    <definedName name="_xlnm.Print_Area" localSheetId="4">'3'!$B$9:$M$46</definedName>
    <definedName name="_xlnm.Print_Area" localSheetId="5">'4'!$B$9:$M$46</definedName>
    <definedName name="_xlnm.Print_Area" localSheetId="6">'5'!$B$9:$M$46</definedName>
    <definedName name="_xlnm.Print_Area" localSheetId="7">'6'!$B$9:$M$46</definedName>
    <definedName name="_xlnm.Print_Area" localSheetId="8">'7'!$B$9:$Q$80</definedName>
    <definedName name="_xlnm.Print_Area" localSheetId="0">A!$B$9:$S$54</definedName>
    <definedName name="_xlnm.Print_Area" localSheetId="12">tmp_Tabelle1!$A$1:$F$27</definedName>
    <definedName name="EA_BGF">'0'!$H$33</definedName>
    <definedName name="EA_EAWZ_RH">'0'!$H$31</definedName>
    <definedName name="EA_EAWZ_RH_calc">Tabellen!$BA$5:$BA$10</definedName>
    <definedName name="EA_EAWZ_WW">'0'!$H$29</definedName>
    <definedName name="EA_EAWZ_WW_calc">Tabellen!$BB$5:$BB$10</definedName>
    <definedName name="EA_Kategorie">Tabellen!$E$4:$E$17</definedName>
    <definedName name="EA_Kategorie_Select">Auswahl!$B$1</definedName>
    <definedName name="EA_Nachweis">Auswahl!$B$5</definedName>
    <definedName name="EA_PV_Ertrag">'0'!$H$35</definedName>
    <definedName name="EA_PV_Export">'0'!$H$37</definedName>
    <definedName name="EA_PV_Status">Auswahl!$B$10</definedName>
    <definedName name="EA_QhSK">'0'!$H$27</definedName>
    <definedName name="EA_QhSK_calc">Auswahl!$B$30</definedName>
    <definedName name="EA_Qtw_calc">Auswahl!$B$31</definedName>
    <definedName name="EA_RH_System">Tabellen!$C$4:$C$16</definedName>
    <definedName name="EA_RH_System_Select">Auswahl!$B$7</definedName>
    <definedName name="EA_TSA">Tabellen!$E$22:$E$24</definedName>
    <definedName name="EA_TSA_Select">Auswahl!$B$8</definedName>
    <definedName name="EA_TSA_Status">Auswahl!$B$9</definedName>
    <definedName name="EA_Vorhaben">Auswahl!$B$35</definedName>
    <definedName name="EA_WG">Auswahl!$B$3</definedName>
    <definedName name="EA_WW_System">Tabellen!$A$4:$A$16</definedName>
    <definedName name="EA_WW_System_Select">Auswahl!$B$6</definedName>
    <definedName name="Jahr_Betrachtung">Auswahl!$E$9</definedName>
    <definedName name="Jahr_Kessel">A!$K$32</definedName>
    <definedName name="Komponenten_trigger">Tabellen!$AG$21</definedName>
    <definedName name="Navigation">Auswahl!$G$2:$K$10</definedName>
    <definedName name="Navigation_0">'0'!$A$10</definedName>
    <definedName name="Navigation_1">'1'!$A$10</definedName>
    <definedName name="Navigation_2">'2'!$A$10</definedName>
    <definedName name="Navigation_3">'3'!$A$10</definedName>
    <definedName name="Navigation_4">'4'!$A$10</definedName>
    <definedName name="Navigation_5">'5'!$A$10</definedName>
    <definedName name="Navigation_6">'6'!$A$10</definedName>
    <definedName name="Navigation_7">'7'!$A$10</definedName>
    <definedName name="Navigation_A">A!$A$10</definedName>
    <definedName name="Status_Systeme">Auswahl!$L$4:$L$9</definedName>
    <definedName name="Tabelle_BestandRH">Tabellen!$A$22:$A$25</definedName>
    <definedName name="Tabelle_Betriebskosten">Tabellen!$J$4:$O$16</definedName>
    <definedName name="Tabelle_EAWZ_RH">Tabellen!$AV$17:$BC$26</definedName>
    <definedName name="Tabelle_EAWZ_WW">Tabellen!$BE$17:$BL$26</definedName>
    <definedName name="Tabelle_Energie">Tabellen!$Q$4:$X$13</definedName>
    <definedName name="Tabelle_Energietraeger">Tabellen!$Q$4:$Q$12</definedName>
    <definedName name="Tabelle_Komponenten">Tabellen!$AF$4:$AR$15</definedName>
    <definedName name="Tabelle_Kosten_Komponenten">Tabellen!$Z$4:$AA$35</definedName>
    <definedName name="TBS_0_1">Texte!$C$4</definedName>
    <definedName name="TBS_7_1">Texte!$G$4</definedName>
    <definedName name="TBS_7_2">Texte!$G$5</definedName>
    <definedName name="TBS_7_3">Texte!$G$6</definedName>
    <definedName name="TBS_7_4">Texte!$G$7</definedName>
    <definedName name="TBS_7_5">Texte!$G$8</definedName>
    <definedName name="TBS_A_1">Texte!$A$4</definedName>
    <definedName name="TBS_A_2">Texte!$A$5</definedName>
    <definedName name="TBS_A_3">Texte!$A$6</definedName>
    <definedName name="TBS_A_4">Texte!$A$7</definedName>
    <definedName name="TBS_A_5">Texte!$A$8</definedName>
    <definedName name="TBS_A_6">Texte!$A$9</definedName>
    <definedName name="TBS_Fehler_1">Texte!$I$4</definedName>
    <definedName name="TBS_Fehler_2">Texte!$I$5</definedName>
    <definedName name="TBS_Fehler_3">Texte!$I$6</definedName>
    <definedName name="TBS_Fehler_4">Texte!$I$7</definedName>
    <definedName name="TBS_Systeme_1">Texte!$E$4</definedName>
    <definedName name="TBS_Systeme_2">Texte!$E$5</definedName>
    <definedName name="TBS_Systeme_3">Texte!$E$6</definedName>
    <definedName name="TBS_Systeme_4">Texte!$E$7</definedName>
    <definedName name="TBS_Systeme_5">Texte!$E$9</definedName>
    <definedName name="TBS_Systeme_6">Texte!$E$10</definedName>
    <definedName name="TBS_Systeme_7">Texte!$E$11</definedName>
    <definedName name="TBS_Systeme_8">Texte!$E$12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6" i="10" l="1"/>
  <c r="AB35" i="10"/>
  <c r="AB34" i="10"/>
  <c r="K36" i="10" l="1"/>
  <c r="K35" i="10"/>
  <c r="Z23" i="10" l="1"/>
  <c r="Z22" i="10"/>
  <c r="Z21" i="10"/>
  <c r="Z26" i="10"/>
  <c r="Z27" i="10"/>
  <c r="Z28" i="10"/>
  <c r="E32" i="17" l="1"/>
  <c r="BE56" i="6" l="1"/>
  <c r="BE55" i="6"/>
  <c r="BE54" i="6"/>
  <c r="BE53" i="6"/>
  <c r="BE52" i="6"/>
  <c r="BE51" i="6"/>
  <c r="BE50" i="6"/>
  <c r="BE49" i="6"/>
  <c r="BE48" i="6"/>
  <c r="BE43" i="6"/>
  <c r="BE42" i="6"/>
  <c r="BE41" i="6"/>
  <c r="BE40" i="6"/>
  <c r="BE39" i="6"/>
  <c r="BE38" i="6"/>
  <c r="BE37" i="6"/>
  <c r="BE36" i="6"/>
  <c r="BE35" i="6"/>
  <c r="BE26" i="6"/>
  <c r="BE25" i="6"/>
  <c r="BE24" i="6"/>
  <c r="BE23" i="6"/>
  <c r="BE22" i="6"/>
  <c r="BE21" i="6"/>
  <c r="BE20" i="6"/>
  <c r="BE19" i="6"/>
  <c r="BE18" i="6"/>
  <c r="BE17" i="6"/>
  <c r="AV26" i="6"/>
  <c r="AV25" i="6"/>
  <c r="AV24" i="6"/>
  <c r="AV23" i="6"/>
  <c r="AV22" i="6"/>
  <c r="AV21" i="6"/>
  <c r="AV20" i="6"/>
  <c r="AV19" i="6"/>
  <c r="AV18" i="6"/>
  <c r="AV17" i="6"/>
  <c r="K34" i="24" l="1"/>
  <c r="K35" i="24"/>
  <c r="K33" i="24"/>
  <c r="K34" i="23"/>
  <c r="K35" i="23"/>
  <c r="K33" i="23"/>
  <c r="K34" i="22"/>
  <c r="K35" i="22"/>
  <c r="K33" i="22"/>
  <c r="K34" i="21"/>
  <c r="K35" i="21"/>
  <c r="K33" i="21"/>
  <c r="Z35" i="24"/>
  <c r="Z34" i="24"/>
  <c r="Z33" i="24"/>
  <c r="Z31" i="24"/>
  <c r="Z30" i="24"/>
  <c r="Z29" i="24"/>
  <c r="Z28" i="24"/>
  <c r="Z27" i="24"/>
  <c r="Z26" i="24"/>
  <c r="Z25" i="24"/>
  <c r="Z23" i="24"/>
  <c r="Z22" i="24"/>
  <c r="Z21" i="24"/>
  <c r="Z20" i="24"/>
  <c r="Z35" i="23"/>
  <c r="Z34" i="23"/>
  <c r="Z33" i="23"/>
  <c r="Z31" i="23"/>
  <c r="Z30" i="23"/>
  <c r="Z29" i="23"/>
  <c r="Z28" i="23"/>
  <c r="Z27" i="23"/>
  <c r="Z26" i="23"/>
  <c r="Z25" i="23"/>
  <c r="Z23" i="23"/>
  <c r="Z22" i="23"/>
  <c r="Z21" i="23"/>
  <c r="Z20" i="23"/>
  <c r="Z35" i="22"/>
  <c r="Z34" i="22"/>
  <c r="Z33" i="22"/>
  <c r="Z31" i="22"/>
  <c r="Z30" i="22"/>
  <c r="Z29" i="22"/>
  <c r="Z28" i="22"/>
  <c r="Z27" i="22"/>
  <c r="Z26" i="22"/>
  <c r="Z25" i="22"/>
  <c r="Z23" i="22"/>
  <c r="Z22" i="22"/>
  <c r="Z21" i="22"/>
  <c r="Z20" i="22"/>
  <c r="Z35" i="21"/>
  <c r="Z34" i="21"/>
  <c r="Z33" i="21"/>
  <c r="Z31" i="21"/>
  <c r="Z30" i="21"/>
  <c r="Z29" i="21"/>
  <c r="Z28" i="21"/>
  <c r="Z27" i="21"/>
  <c r="Z26" i="21"/>
  <c r="Z25" i="21"/>
  <c r="Z23" i="21"/>
  <c r="Z22" i="21"/>
  <c r="Z21" i="21"/>
  <c r="Z20" i="21"/>
  <c r="K34" i="20"/>
  <c r="K35" i="20"/>
  <c r="Z21" i="20"/>
  <c r="Z22" i="20"/>
  <c r="Z23" i="20"/>
  <c r="Z25" i="20"/>
  <c r="Z26" i="20"/>
  <c r="Z27" i="20"/>
  <c r="Z28" i="20"/>
  <c r="Z29" i="20"/>
  <c r="Z30" i="20"/>
  <c r="Z31" i="20"/>
  <c r="Z33" i="20"/>
  <c r="Z34" i="20"/>
  <c r="Z35" i="20"/>
  <c r="Z20" i="20"/>
  <c r="Z20" i="10"/>
  <c r="Z24" i="10"/>
  <c r="Z29" i="10"/>
  <c r="Z30" i="10"/>
  <c r="Z31" i="10"/>
  <c r="Z32" i="10"/>
  <c r="Z34" i="10"/>
  <c r="Z35" i="10"/>
  <c r="Z36" i="10"/>
  <c r="H18" i="16" l="1"/>
  <c r="R18" i="16"/>
  <c r="B18" i="16" s="1"/>
  <c r="U32" i="17"/>
  <c r="B32" i="17" s="1"/>
  <c r="U30" i="17"/>
  <c r="B30" i="17" s="1"/>
  <c r="K30" i="17"/>
  <c r="Q18" i="16" l="1"/>
  <c r="T32" i="17"/>
  <c r="T30" i="17"/>
  <c r="BJ43" i="6"/>
  <c r="BI43" i="6"/>
  <c r="BH43" i="6"/>
  <c r="BJ56" i="6"/>
  <c r="BI56" i="6"/>
  <c r="BH56" i="6"/>
  <c r="BJ52" i="6"/>
  <c r="BI52" i="6"/>
  <c r="BH52" i="6"/>
  <c r="BG52" i="6"/>
  <c r="BF52" i="6"/>
  <c r="BG39" i="6"/>
  <c r="BH39" i="6"/>
  <c r="BI39" i="6"/>
  <c r="BJ39" i="6"/>
  <c r="BF39" i="6"/>
  <c r="BJ48" i="6"/>
  <c r="BI48" i="6"/>
  <c r="BH48" i="6"/>
  <c r="BG48" i="6"/>
  <c r="BF48" i="6"/>
  <c r="BG35" i="6"/>
  <c r="BH35" i="6"/>
  <c r="BI35" i="6"/>
  <c r="BJ35" i="6"/>
  <c r="BF35" i="6"/>
  <c r="BJ25" i="6"/>
  <c r="BI25" i="6"/>
  <c r="BH25" i="6"/>
  <c r="BJ17" i="6"/>
  <c r="BI17" i="6"/>
  <c r="BH17" i="6"/>
  <c r="BG17" i="6"/>
  <c r="BF17" i="6"/>
  <c r="BA17" i="6"/>
  <c r="AZ17" i="6"/>
  <c r="AY17" i="6"/>
  <c r="AX17" i="6"/>
  <c r="AW17" i="6"/>
  <c r="BA26" i="6"/>
  <c r="AZ26" i="6"/>
  <c r="AY26" i="6"/>
  <c r="AA33" i="6"/>
  <c r="BB5" i="6" l="1"/>
  <c r="BA5" i="6"/>
  <c r="AW35" i="6"/>
  <c r="AW36" i="6"/>
  <c r="AW37" i="6"/>
  <c r="AW38" i="6"/>
  <c r="BK16" i="6"/>
  <c r="BF20" i="6"/>
  <c r="BG20" i="6"/>
  <c r="BB16" i="6"/>
  <c r="AW19" i="6"/>
  <c r="AX19" i="6"/>
  <c r="W4" i="6"/>
  <c r="AX38" i="6" l="1"/>
  <c r="L32" i="13"/>
  <c r="E7" i="3" l="1"/>
  <c r="AA10" i="6"/>
  <c r="B11" i="3"/>
  <c r="BK26" i="6" s="1"/>
  <c r="N15" i="6" l="1"/>
  <c r="M15" i="6"/>
  <c r="L15" i="6"/>
  <c r="N9" i="6"/>
  <c r="M9" i="6"/>
  <c r="L9" i="6"/>
  <c r="N4" i="6"/>
  <c r="M4" i="6"/>
  <c r="L4" i="6"/>
  <c r="S35" i="24"/>
  <c r="S34" i="24"/>
  <c r="S33" i="24"/>
  <c r="C12" i="24"/>
  <c r="J6" i="24"/>
  <c r="C4" i="24"/>
  <c r="C2" i="24"/>
  <c r="S35" i="23"/>
  <c r="S34" i="23"/>
  <c r="S33" i="23"/>
  <c r="C12" i="23"/>
  <c r="J6" i="23"/>
  <c r="C4" i="23"/>
  <c r="C2" i="23"/>
  <c r="S35" i="22"/>
  <c r="S34" i="22"/>
  <c r="S33" i="22"/>
  <c r="C12" i="22"/>
  <c r="J6" i="22"/>
  <c r="C4" i="22"/>
  <c r="C2" i="22"/>
  <c r="S35" i="21"/>
  <c r="S34" i="21"/>
  <c r="S33" i="21"/>
  <c r="C12" i="21"/>
  <c r="J6" i="21"/>
  <c r="C4" i="21"/>
  <c r="C2" i="21"/>
  <c r="S35" i="20"/>
  <c r="S34" i="20"/>
  <c r="S33" i="20"/>
  <c r="C12" i="20"/>
  <c r="J6" i="20"/>
  <c r="C4" i="20"/>
  <c r="C2" i="20"/>
  <c r="C68" i="13" l="1"/>
  <c r="H76" i="13"/>
  <c r="C58" i="13"/>
  <c r="C47" i="13"/>
  <c r="C35" i="13"/>
  <c r="C29" i="13"/>
  <c r="E45" i="16"/>
  <c r="C12" i="13" l="1"/>
  <c r="C27" i="13" l="1"/>
  <c r="G80" i="13"/>
  <c r="E10" i="7"/>
  <c r="R37" i="16"/>
  <c r="R35" i="16"/>
  <c r="W11" i="6"/>
  <c r="W13" i="6"/>
  <c r="W7" i="6"/>
  <c r="W8" i="6"/>
  <c r="W9" i="6"/>
  <c r="W5" i="6"/>
  <c r="C43" i="16"/>
  <c r="C39" i="16"/>
  <c r="R31" i="16" l="1"/>
  <c r="R29" i="16"/>
  <c r="R27" i="16"/>
  <c r="B9" i="3"/>
  <c r="H25" i="16"/>
  <c r="C6" i="19" l="1"/>
  <c r="C10" i="19" s="1"/>
  <c r="C14" i="19" l="1"/>
  <c r="C13" i="19"/>
  <c r="C21" i="19"/>
  <c r="C9" i="19"/>
  <c r="B26" i="19" s="1"/>
  <c r="D26" i="19" s="1"/>
  <c r="C19" i="19"/>
  <c r="C15" i="19"/>
  <c r="D15" i="19" s="1"/>
  <c r="C20" i="19"/>
  <c r="C8" i="19"/>
  <c r="C18" i="19"/>
  <c r="C17" i="19"/>
  <c r="C12" i="19"/>
  <c r="C7" i="19"/>
  <c r="D7" i="19" s="1"/>
  <c r="C11" i="19"/>
  <c r="D11" i="19" s="1"/>
  <c r="C22" i="19"/>
  <c r="C16" i="19"/>
  <c r="C17" i="10"/>
  <c r="D9" i="19" l="1"/>
  <c r="D16" i="19"/>
  <c r="D21" i="19"/>
  <c r="D10" i="19"/>
  <c r="D20" i="19"/>
  <c r="D14" i="19"/>
  <c r="E23" i="19"/>
  <c r="D12" i="19"/>
  <c r="D13" i="19"/>
  <c r="D18" i="19"/>
  <c r="D19" i="19"/>
  <c r="D17" i="19"/>
  <c r="B30" i="19"/>
  <c r="C30" i="19" s="1"/>
  <c r="E30" i="19" s="1"/>
  <c r="D22" i="19"/>
  <c r="F22" i="19"/>
  <c r="D8" i="19"/>
  <c r="L4" i="3"/>
  <c r="C20" i="10" s="1"/>
  <c r="E22" i="19" l="1"/>
  <c r="C23" i="10"/>
  <c r="C37" i="10"/>
  <c r="C18" i="10"/>
  <c r="C42" i="10"/>
  <c r="J39" i="10" s="1"/>
  <c r="G18" i="10"/>
  <c r="J18" i="10"/>
  <c r="G44" i="10"/>
  <c r="C45" i="10"/>
  <c r="C39" i="10"/>
  <c r="C46" i="10"/>
  <c r="C44" i="10"/>
  <c r="C41" i="10"/>
  <c r="C27" i="10"/>
  <c r="C33" i="10"/>
  <c r="C21" i="10"/>
  <c r="C28" i="10"/>
  <c r="C26" i="10"/>
  <c r="C22" i="10"/>
  <c r="C29" i="10"/>
  <c r="C30" i="10"/>
  <c r="C25" i="10"/>
  <c r="C19" i="10"/>
  <c r="K26" i="17" l="1"/>
  <c r="U39" i="17"/>
  <c r="U38" i="17"/>
  <c r="U37" i="17"/>
  <c r="U36" i="17"/>
  <c r="U15" i="17"/>
  <c r="U23" i="17"/>
  <c r="U21" i="17"/>
  <c r="U19" i="17"/>
  <c r="U17" i="17"/>
  <c r="R33" i="16"/>
  <c r="R20" i="16"/>
  <c r="U28" i="17"/>
  <c r="U26" i="17"/>
  <c r="H74" i="13" l="1"/>
  <c r="B14" i="3"/>
  <c r="L9" i="3"/>
  <c r="B10" i="3"/>
  <c r="L8" i="3"/>
  <c r="L7" i="3"/>
  <c r="L6" i="3"/>
  <c r="L5" i="3"/>
  <c r="C27" i="20" s="1"/>
  <c r="B3" i="3"/>
  <c r="V9" i="6" s="1"/>
  <c r="AA35" i="6"/>
  <c r="AA34" i="6"/>
  <c r="AA32" i="6"/>
  <c r="AA31" i="6"/>
  <c r="AA30" i="6"/>
  <c r="AA29" i="6"/>
  <c r="AA28" i="6"/>
  <c r="AA27" i="6"/>
  <c r="AA26" i="6"/>
  <c r="J22" i="10" s="1"/>
  <c r="AB22" i="10" s="1"/>
  <c r="AA25" i="6"/>
  <c r="J23" i="10" s="1"/>
  <c r="AB23" i="10" s="1"/>
  <c r="AA24" i="6"/>
  <c r="AA23" i="6"/>
  <c r="AA22" i="6"/>
  <c r="AA21" i="6"/>
  <c r="AA20" i="6"/>
  <c r="AA19" i="6"/>
  <c r="AA18" i="6"/>
  <c r="AA17" i="6"/>
  <c r="K16" i="6"/>
  <c r="J16" i="6"/>
  <c r="C16" i="6"/>
  <c r="AR3" i="6" s="1"/>
  <c r="H16" i="6"/>
  <c r="AA16" i="6"/>
  <c r="K15" i="6"/>
  <c r="J15" i="6"/>
  <c r="H9" i="3" s="1"/>
  <c r="C15" i="6"/>
  <c r="AQ3" i="6" s="1"/>
  <c r="H15" i="6"/>
  <c r="AA15" i="6"/>
  <c r="K14" i="6"/>
  <c r="J14" i="6"/>
  <c r="H7" i="3" s="1"/>
  <c r="C14" i="6"/>
  <c r="AP3" i="6" s="1"/>
  <c r="H14" i="6"/>
  <c r="AA14" i="6"/>
  <c r="U13" i="6"/>
  <c r="T13" i="6"/>
  <c r="S13" i="6"/>
  <c r="R13" i="6"/>
  <c r="K13" i="6"/>
  <c r="J13" i="6"/>
  <c r="H8" i="3" s="1"/>
  <c r="C13" i="6"/>
  <c r="AO3" i="6" s="1"/>
  <c r="H13" i="6"/>
  <c r="AA13" i="6"/>
  <c r="K12" i="6"/>
  <c r="J12" i="6"/>
  <c r="H12" i="6"/>
  <c r="AA12" i="6"/>
  <c r="K11" i="6"/>
  <c r="J11" i="6"/>
  <c r="C11" i="6"/>
  <c r="AM3" i="6" s="1"/>
  <c r="H11" i="6"/>
  <c r="AA11" i="6"/>
  <c r="K10" i="6"/>
  <c r="J10" i="6"/>
  <c r="H5" i="3" s="1"/>
  <c r="C10" i="6"/>
  <c r="H10" i="6"/>
  <c r="AA9" i="6"/>
  <c r="K9" i="6"/>
  <c r="J9" i="6"/>
  <c r="C9" i="6"/>
  <c r="AK3" i="6" s="1"/>
  <c r="H9" i="6"/>
  <c r="AA8" i="6"/>
  <c r="K8" i="6"/>
  <c r="J8" i="6"/>
  <c r="C8" i="6"/>
  <c r="AJ3" i="6" s="1"/>
  <c r="H8" i="6"/>
  <c r="AA7" i="6"/>
  <c r="K7" i="6"/>
  <c r="J7" i="6"/>
  <c r="H6" i="3" s="1"/>
  <c r="C7" i="6"/>
  <c r="AI3" i="6" s="1"/>
  <c r="H7" i="6"/>
  <c r="AA6" i="6"/>
  <c r="K6" i="6"/>
  <c r="J6" i="6"/>
  <c r="C6" i="6"/>
  <c r="H6" i="6"/>
  <c r="AA5" i="6"/>
  <c r="K5" i="6"/>
  <c r="J5" i="6"/>
  <c r="C5" i="6"/>
  <c r="AG3" i="6" s="1"/>
  <c r="H5" i="6"/>
  <c r="L33" i="13" s="1"/>
  <c r="AA4" i="6"/>
  <c r="K4" i="6"/>
  <c r="J4" i="6"/>
  <c r="AN3" i="6"/>
  <c r="AF3" i="6"/>
  <c r="G79" i="13"/>
  <c r="H75" i="13"/>
  <c r="H72" i="13"/>
  <c r="H71" i="13"/>
  <c r="C53" i="13"/>
  <c r="C52" i="13"/>
  <c r="C51" i="13"/>
  <c r="L39" i="13"/>
  <c r="F39" i="13"/>
  <c r="C10" i="13"/>
  <c r="L6" i="13"/>
  <c r="C4" i="13"/>
  <c r="C2" i="13"/>
  <c r="S36" i="10"/>
  <c r="S35" i="10"/>
  <c r="O35" i="10" s="1"/>
  <c r="N35" i="10" s="1"/>
  <c r="S34" i="10"/>
  <c r="O34" i="10" s="1"/>
  <c r="S30" i="10"/>
  <c r="O30" i="10" s="1"/>
  <c r="S29" i="10"/>
  <c r="O29" i="10" s="1"/>
  <c r="S27" i="10"/>
  <c r="O27" i="10" s="1"/>
  <c r="S26" i="10"/>
  <c r="O26" i="10" s="1"/>
  <c r="S20" i="10"/>
  <c r="O20" i="10" s="1"/>
  <c r="C12" i="10"/>
  <c r="J6" i="10"/>
  <c r="C4" i="10"/>
  <c r="C2" i="10"/>
  <c r="B37" i="16"/>
  <c r="Q31" i="16"/>
  <c r="B29" i="16"/>
  <c r="B27" i="16"/>
  <c r="B35" i="16"/>
  <c r="B33" i="16"/>
  <c r="H22" i="16"/>
  <c r="Q20" i="16"/>
  <c r="H20" i="16"/>
  <c r="B20" i="16"/>
  <c r="C15" i="16"/>
  <c r="C12" i="16"/>
  <c r="C10" i="16"/>
  <c r="M6" i="16"/>
  <c r="C4" i="16"/>
  <c r="C2" i="16"/>
  <c r="T39" i="17"/>
  <c r="T38" i="17"/>
  <c r="T37" i="17"/>
  <c r="T36" i="17"/>
  <c r="B28" i="17"/>
  <c r="B26" i="17"/>
  <c r="B23" i="17"/>
  <c r="T21" i="17"/>
  <c r="T19" i="17"/>
  <c r="B17" i="17"/>
  <c r="T15" i="17"/>
  <c r="M6" i="17"/>
  <c r="C4" i="17"/>
  <c r="C2" i="17"/>
  <c r="AI34" i="10" l="1"/>
  <c r="AI35" i="10"/>
  <c r="AI36" i="10"/>
  <c r="K22" i="10"/>
  <c r="K23" i="10"/>
  <c r="H73" i="13"/>
  <c r="N31" i="13"/>
  <c r="O50" i="13"/>
  <c r="N60" i="13"/>
  <c r="G6" i="7"/>
  <c r="C48" i="13" s="1"/>
  <c r="G7" i="7"/>
  <c r="C59" i="13" s="1"/>
  <c r="O4" i="6"/>
  <c r="B29" i="3"/>
  <c r="S61" i="13" s="1"/>
  <c r="O10" i="6"/>
  <c r="L62" i="13" s="1"/>
  <c r="O13" i="6"/>
  <c r="L65" i="13" s="1"/>
  <c r="O5" i="6"/>
  <c r="O7" i="6"/>
  <c r="L63" i="13" s="1"/>
  <c r="O15" i="6"/>
  <c r="L66" i="13" s="1"/>
  <c r="O8" i="6"/>
  <c r="O16" i="6"/>
  <c r="O9" i="6"/>
  <c r="O14" i="6"/>
  <c r="L64" i="13" s="1"/>
  <c r="C24" i="10"/>
  <c r="G8" i="7"/>
  <c r="C36" i="13" s="1"/>
  <c r="BK35" i="6"/>
  <c r="BK36" i="6"/>
  <c r="BK39" i="6"/>
  <c r="BK25" i="6"/>
  <c r="BB23" i="6"/>
  <c r="BB25" i="6"/>
  <c r="BK50" i="6"/>
  <c r="BK48" i="6"/>
  <c r="BK22" i="6"/>
  <c r="BB18" i="6"/>
  <c r="BB21" i="6"/>
  <c r="BK56" i="6"/>
  <c r="BK40" i="6"/>
  <c r="BK18" i="6"/>
  <c r="BF28" i="6" s="1"/>
  <c r="BK49" i="6"/>
  <c r="BB22" i="6"/>
  <c r="BK52" i="6"/>
  <c r="BK21" i="6"/>
  <c r="BK43" i="6"/>
  <c r="BK53" i="6"/>
  <c r="BK42" i="6"/>
  <c r="BK17" i="6"/>
  <c r="BB17" i="6"/>
  <c r="BK38" i="6"/>
  <c r="BK54" i="6"/>
  <c r="BB20" i="6"/>
  <c r="BB26" i="6"/>
  <c r="BB24" i="6"/>
  <c r="BK24" i="6"/>
  <c r="BK51" i="6"/>
  <c r="BL51" i="6" s="1"/>
  <c r="BK41" i="6"/>
  <c r="BK19" i="6"/>
  <c r="BK37" i="6"/>
  <c r="BK23" i="6"/>
  <c r="BK20" i="6"/>
  <c r="BB19" i="6"/>
  <c r="BK55" i="6"/>
  <c r="AH3" i="6"/>
  <c r="AW28" i="6"/>
  <c r="D44" i="21"/>
  <c r="D45" i="21" s="1"/>
  <c r="D44" i="24"/>
  <c r="D45" i="24" s="1"/>
  <c r="D44" i="20"/>
  <c r="V8" i="6"/>
  <c r="V4" i="6"/>
  <c r="J20" i="10"/>
  <c r="AB20" i="10" s="1"/>
  <c r="D44" i="22"/>
  <c r="D45" i="22" s="1"/>
  <c r="C20" i="24"/>
  <c r="C25" i="24"/>
  <c r="C22" i="24"/>
  <c r="C31" i="24"/>
  <c r="C23" i="24"/>
  <c r="C27" i="24"/>
  <c r="C29" i="24"/>
  <c r="C21" i="24"/>
  <c r="C28" i="24"/>
  <c r="C26" i="24"/>
  <c r="D44" i="23"/>
  <c r="D45" i="23" s="1"/>
  <c r="C29" i="23"/>
  <c r="C22" i="23"/>
  <c r="C28" i="23"/>
  <c r="C21" i="23"/>
  <c r="C27" i="23"/>
  <c r="C26" i="23"/>
  <c r="C25" i="23"/>
  <c r="C31" i="23"/>
  <c r="C23" i="23"/>
  <c r="C20" i="23"/>
  <c r="C25" i="22"/>
  <c r="C23" i="22"/>
  <c r="C31" i="22"/>
  <c r="C29" i="22"/>
  <c r="C22" i="22"/>
  <c r="C26" i="22"/>
  <c r="C28" i="22"/>
  <c r="C21" i="22"/>
  <c r="C27" i="22"/>
  <c r="C20" i="22"/>
  <c r="C29" i="20"/>
  <c r="C22" i="20"/>
  <c r="C28" i="20"/>
  <c r="C21" i="20"/>
  <c r="C26" i="20"/>
  <c r="C25" i="20"/>
  <c r="C23" i="20"/>
  <c r="C20" i="20"/>
  <c r="C31" i="21"/>
  <c r="C23" i="21"/>
  <c r="C29" i="21"/>
  <c r="C22" i="21"/>
  <c r="C27" i="21"/>
  <c r="C28" i="21"/>
  <c r="C21" i="21"/>
  <c r="C26" i="21"/>
  <c r="C25" i="21"/>
  <c r="C20" i="21"/>
  <c r="S33" i="13"/>
  <c r="R33" i="13" s="1"/>
  <c r="B33" i="13" s="1"/>
  <c r="S32" i="13"/>
  <c r="R32" i="13" s="1"/>
  <c r="B32" i="13" s="1"/>
  <c r="B25" i="3"/>
  <c r="B31" i="3" s="1"/>
  <c r="B24" i="3"/>
  <c r="B30" i="3" s="1"/>
  <c r="V13" i="6"/>
  <c r="V11" i="6"/>
  <c r="M53" i="13" s="1"/>
  <c r="V10" i="6"/>
  <c r="M51" i="13" s="1"/>
  <c r="V7" i="6"/>
  <c r="V5" i="6"/>
  <c r="G5" i="7"/>
  <c r="C30" i="13" s="1"/>
  <c r="B28" i="3"/>
  <c r="I53" i="13"/>
  <c r="F51" i="13"/>
  <c r="G52" i="13"/>
  <c r="B26" i="3"/>
  <c r="J21" i="10"/>
  <c r="AB21" i="10" s="1"/>
  <c r="C10" i="23"/>
  <c r="C17" i="23"/>
  <c r="J2" i="24"/>
  <c r="J2" i="23"/>
  <c r="J2" i="22"/>
  <c r="J2" i="21"/>
  <c r="J2" i="20"/>
  <c r="F4" i="24"/>
  <c r="F4" i="23"/>
  <c r="F4" i="22"/>
  <c r="F4" i="21"/>
  <c r="F4" i="20"/>
  <c r="C10" i="21"/>
  <c r="C17" i="21"/>
  <c r="C17" i="24"/>
  <c r="J4" i="24"/>
  <c r="J4" i="23"/>
  <c r="J4" i="22"/>
  <c r="J4" i="21"/>
  <c r="C10" i="24"/>
  <c r="J4" i="20"/>
  <c r="F6" i="22"/>
  <c r="C10" i="22"/>
  <c r="F6" i="23"/>
  <c r="F6" i="20"/>
  <c r="F6" i="24"/>
  <c r="F6" i="21"/>
  <c r="C17" i="22"/>
  <c r="C10" i="20"/>
  <c r="C17" i="20"/>
  <c r="F2" i="23"/>
  <c r="F2" i="22"/>
  <c r="F2" i="20"/>
  <c r="F2" i="24"/>
  <c r="F2" i="21"/>
  <c r="G43" i="24"/>
  <c r="C36" i="24"/>
  <c r="C18" i="24"/>
  <c r="C32" i="24"/>
  <c r="C43" i="24"/>
  <c r="C24" i="24"/>
  <c r="C45" i="24"/>
  <c r="C41" i="24"/>
  <c r="J38" i="24" s="1"/>
  <c r="C19" i="24"/>
  <c r="C40" i="24"/>
  <c r="O33" i="24"/>
  <c r="G18" i="24"/>
  <c r="C44" i="24"/>
  <c r="O34" i="24"/>
  <c r="J18" i="24"/>
  <c r="C38" i="24"/>
  <c r="O35" i="24"/>
  <c r="K48" i="24"/>
  <c r="D49" i="24"/>
  <c r="J48" i="24"/>
  <c r="G48" i="24"/>
  <c r="C48" i="24"/>
  <c r="C50" i="24"/>
  <c r="C49" i="24"/>
  <c r="D50" i="24"/>
  <c r="G43" i="23"/>
  <c r="C36" i="23"/>
  <c r="O34" i="23"/>
  <c r="C18" i="23"/>
  <c r="C43" i="23"/>
  <c r="C45" i="23"/>
  <c r="C41" i="23"/>
  <c r="J38" i="23" s="1"/>
  <c r="O35" i="23"/>
  <c r="C19" i="23"/>
  <c r="C40" i="23"/>
  <c r="O33" i="23"/>
  <c r="C24" i="23"/>
  <c r="C44" i="23"/>
  <c r="J18" i="23"/>
  <c r="C38" i="23"/>
  <c r="C32" i="23"/>
  <c r="G18" i="23"/>
  <c r="K48" i="23"/>
  <c r="J48" i="23"/>
  <c r="G48" i="23"/>
  <c r="C48" i="23"/>
  <c r="D50" i="23"/>
  <c r="D49" i="23"/>
  <c r="C50" i="23"/>
  <c r="C49" i="23"/>
  <c r="G43" i="22"/>
  <c r="C36" i="22"/>
  <c r="O33" i="22"/>
  <c r="C43" i="22"/>
  <c r="C19" i="22"/>
  <c r="C44" i="22"/>
  <c r="G18" i="22"/>
  <c r="C45" i="22"/>
  <c r="C41" i="22"/>
  <c r="J38" i="22" s="1"/>
  <c r="C32" i="22"/>
  <c r="C40" i="22"/>
  <c r="C24" i="22"/>
  <c r="J18" i="22"/>
  <c r="C38" i="22"/>
  <c r="C18" i="22"/>
  <c r="O34" i="22"/>
  <c r="O35" i="22"/>
  <c r="K48" i="22"/>
  <c r="J48" i="22"/>
  <c r="D49" i="22"/>
  <c r="G48" i="22"/>
  <c r="C48" i="22"/>
  <c r="D50" i="22"/>
  <c r="C50" i="22"/>
  <c r="C49" i="22"/>
  <c r="C45" i="21"/>
  <c r="C41" i="21"/>
  <c r="J38" i="21" s="1"/>
  <c r="O35" i="21"/>
  <c r="C40" i="21"/>
  <c r="C32" i="21"/>
  <c r="C19" i="21"/>
  <c r="C44" i="21"/>
  <c r="C24" i="21"/>
  <c r="C38" i="21"/>
  <c r="J18" i="21"/>
  <c r="G43" i="21"/>
  <c r="C36" i="21"/>
  <c r="G18" i="21"/>
  <c r="C43" i="21"/>
  <c r="O33" i="21"/>
  <c r="C18" i="21"/>
  <c r="O34" i="21"/>
  <c r="K48" i="21"/>
  <c r="D50" i="21"/>
  <c r="J48" i="21"/>
  <c r="C48" i="21"/>
  <c r="D49" i="21"/>
  <c r="C50" i="21"/>
  <c r="C49" i="21"/>
  <c r="G48" i="21"/>
  <c r="C43" i="20"/>
  <c r="C45" i="20"/>
  <c r="C41" i="20"/>
  <c r="J38" i="20" s="1"/>
  <c r="C32" i="20"/>
  <c r="C19" i="20"/>
  <c r="C38" i="20"/>
  <c r="G43" i="20"/>
  <c r="O33" i="20"/>
  <c r="C18" i="20"/>
  <c r="C40" i="20"/>
  <c r="C24" i="20"/>
  <c r="C44" i="20"/>
  <c r="J18" i="20"/>
  <c r="G18" i="20"/>
  <c r="C36" i="20"/>
  <c r="O34" i="20"/>
  <c r="O35" i="20"/>
  <c r="C47" i="10"/>
  <c r="J44" i="10" s="1"/>
  <c r="K48" i="20"/>
  <c r="D49" i="20"/>
  <c r="T49" i="20" s="1"/>
  <c r="D50" i="20"/>
  <c r="T50" i="20" s="1"/>
  <c r="U50" i="20" s="1"/>
  <c r="J48" i="20"/>
  <c r="C48" i="20"/>
  <c r="C50" i="20"/>
  <c r="G48" i="20"/>
  <c r="C49" i="20"/>
  <c r="G50" i="10"/>
  <c r="O36" i="10"/>
  <c r="N36" i="10" s="1"/>
  <c r="C22" i="13"/>
  <c r="AV9" i="6"/>
  <c r="C20" i="13"/>
  <c r="AV7" i="6"/>
  <c r="C23" i="13"/>
  <c r="AV10" i="6"/>
  <c r="C21" i="13"/>
  <c r="AV8" i="6"/>
  <c r="C19" i="13"/>
  <c r="AV6" i="6"/>
  <c r="C43" i="13"/>
  <c r="C65" i="13"/>
  <c r="C63" i="13"/>
  <c r="C41" i="13"/>
  <c r="C44" i="13"/>
  <c r="C66" i="13"/>
  <c r="C42" i="13"/>
  <c r="C64" i="13"/>
  <c r="C40" i="13"/>
  <c r="C62" i="13"/>
  <c r="D51" i="10"/>
  <c r="T51" i="10" s="1"/>
  <c r="D50" i="10"/>
  <c r="T50" i="10" s="1"/>
  <c r="G51" i="10"/>
  <c r="C50" i="10"/>
  <c r="C49" i="10"/>
  <c r="J49" i="10"/>
  <c r="G49" i="10"/>
  <c r="C51" i="10"/>
  <c r="J28" i="10"/>
  <c r="AB28" i="10" s="1"/>
  <c r="B4" i="3"/>
  <c r="X23" i="10" s="1"/>
  <c r="Y23" i="10" s="1"/>
  <c r="K28" i="17"/>
  <c r="D45" i="10"/>
  <c r="D46" i="10"/>
  <c r="E45" i="17"/>
  <c r="C54" i="13"/>
  <c r="H4" i="3"/>
  <c r="AL3" i="6"/>
  <c r="I52" i="13"/>
  <c r="M52" i="13"/>
  <c r="G51" i="13"/>
  <c r="I51" i="13"/>
  <c r="AR8" i="6"/>
  <c r="C30" i="24" s="1"/>
  <c r="AG8" i="6"/>
  <c r="AL9" i="6"/>
  <c r="C32" i="10" s="1"/>
  <c r="AM9" i="6"/>
  <c r="C31" i="20" s="1"/>
  <c r="AL8" i="6"/>
  <c r="AM8" i="6"/>
  <c r="C30" i="20" s="1"/>
  <c r="AK8" i="6"/>
  <c r="AP8" i="6"/>
  <c r="C30" i="23" s="1"/>
  <c r="AJ8" i="6"/>
  <c r="C30" i="21" s="1"/>
  <c r="AQ8" i="6"/>
  <c r="C30" i="22" s="1"/>
  <c r="AH8" i="6"/>
  <c r="B31" i="16"/>
  <c r="Q29" i="16"/>
  <c r="S22" i="10"/>
  <c r="O22" i="10" s="1"/>
  <c r="B20" i="10"/>
  <c r="J30" i="10"/>
  <c r="AB30" i="10" s="1"/>
  <c r="J27" i="10"/>
  <c r="AB27" i="10" s="1"/>
  <c r="S28" i="10"/>
  <c r="O28" i="10" s="1"/>
  <c r="B35" i="10"/>
  <c r="F2" i="13"/>
  <c r="F2" i="10"/>
  <c r="G2" i="16"/>
  <c r="H2" i="17"/>
  <c r="M4" i="17"/>
  <c r="J4" i="10"/>
  <c r="M4" i="16"/>
  <c r="L4" i="13"/>
  <c r="H6" i="17"/>
  <c r="F6" i="13"/>
  <c r="F6" i="10"/>
  <c r="G6" i="16"/>
  <c r="N34" i="10"/>
  <c r="B34" i="10"/>
  <c r="M2" i="17"/>
  <c r="M2" i="16"/>
  <c r="J2" i="10"/>
  <c r="L2" i="13"/>
  <c r="F4" i="13"/>
  <c r="F4" i="10"/>
  <c r="H4" i="17"/>
  <c r="G4" i="16"/>
  <c r="F53" i="13"/>
  <c r="Q37" i="16"/>
  <c r="F52" i="13"/>
  <c r="G53" i="13"/>
  <c r="T28" i="17"/>
  <c r="S21" i="10"/>
  <c r="O21" i="10" s="1"/>
  <c r="S23" i="10"/>
  <c r="O23" i="10" s="1"/>
  <c r="N23" i="10" s="1"/>
  <c r="B15" i="17"/>
  <c r="T23" i="17"/>
  <c r="T26" i="17"/>
  <c r="B21" i="17"/>
  <c r="T17" i="17"/>
  <c r="B19" i="17"/>
  <c r="Q27" i="16"/>
  <c r="Q35" i="16"/>
  <c r="J29" i="10"/>
  <c r="AB29" i="10" s="1"/>
  <c r="Q33" i="16"/>
  <c r="J26" i="10"/>
  <c r="AB26" i="10" s="1"/>
  <c r="B38" i="17"/>
  <c r="B36" i="17"/>
  <c r="B37" i="17"/>
  <c r="B39" i="17"/>
  <c r="AC36" i="10" l="1"/>
  <c r="AC35" i="10"/>
  <c r="AC34" i="10"/>
  <c r="T23" i="10"/>
  <c r="V23" i="10" s="1"/>
  <c r="T22" i="10"/>
  <c r="U49" i="20"/>
  <c r="X22" i="10"/>
  <c r="Y22" i="10" s="1"/>
  <c r="F20" i="10"/>
  <c r="K20" i="10"/>
  <c r="K27" i="10"/>
  <c r="K30" i="10"/>
  <c r="K29" i="10"/>
  <c r="AC23" i="10"/>
  <c r="AI23" i="10"/>
  <c r="F23" i="10"/>
  <c r="K28" i="10"/>
  <c r="AC22" i="10"/>
  <c r="F22" i="10"/>
  <c r="AI22" i="10"/>
  <c r="AC20" i="10"/>
  <c r="AG20" i="10" s="1"/>
  <c r="AI20" i="10"/>
  <c r="T26" i="10"/>
  <c r="T27" i="10"/>
  <c r="X27" i="10" s="1"/>
  <c r="Y27" i="10" s="1"/>
  <c r="V22" i="10"/>
  <c r="U22" i="10"/>
  <c r="T28" i="10"/>
  <c r="X28" i="10" s="1"/>
  <c r="Y28" i="10" s="1"/>
  <c r="X21" i="10"/>
  <c r="Y21" i="10" s="1"/>
  <c r="T21" i="10"/>
  <c r="X34" i="24"/>
  <c r="Y34" i="24" s="1"/>
  <c r="X33" i="23"/>
  <c r="Y33" i="23" s="1"/>
  <c r="X35" i="21"/>
  <c r="Y35" i="21" s="1"/>
  <c r="X35" i="23"/>
  <c r="Y35" i="23" s="1"/>
  <c r="X35" i="24"/>
  <c r="Y35" i="24" s="1"/>
  <c r="T34" i="24"/>
  <c r="T35" i="23"/>
  <c r="T33" i="23"/>
  <c r="X34" i="22"/>
  <c r="Y34" i="22" s="1"/>
  <c r="T35" i="21"/>
  <c r="T34" i="20"/>
  <c r="X33" i="22"/>
  <c r="Y33" i="22" s="1"/>
  <c r="X36" i="10"/>
  <c r="X34" i="20"/>
  <c r="Y34" i="20" s="1"/>
  <c r="X35" i="22"/>
  <c r="Y35" i="22" s="1"/>
  <c r="T34" i="22"/>
  <c r="X33" i="21"/>
  <c r="Y33" i="21" s="1"/>
  <c r="T35" i="20"/>
  <c r="T33" i="24"/>
  <c r="T34" i="23"/>
  <c r="T35" i="22"/>
  <c r="T33" i="22"/>
  <c r="T34" i="21"/>
  <c r="X33" i="20"/>
  <c r="Y33" i="20" s="1"/>
  <c r="T35" i="24"/>
  <c r="X33" i="24"/>
  <c r="Y33" i="24" s="1"/>
  <c r="X34" i="23"/>
  <c r="Y34" i="23" s="1"/>
  <c r="X34" i="21"/>
  <c r="Y34" i="21" s="1"/>
  <c r="T33" i="21"/>
  <c r="T33" i="20"/>
  <c r="X35" i="20"/>
  <c r="Y35" i="20" s="1"/>
  <c r="D45" i="20"/>
  <c r="T45" i="20" s="1"/>
  <c r="U45" i="20" s="1"/>
  <c r="T44" i="20"/>
  <c r="U44" i="20" s="1"/>
  <c r="S24" i="10"/>
  <c r="O24" i="10" s="1"/>
  <c r="B24" i="10" s="1"/>
  <c r="T30" i="10"/>
  <c r="X30" i="10" s="1"/>
  <c r="Y30" i="10" s="1"/>
  <c r="T36" i="10"/>
  <c r="Y36" i="10"/>
  <c r="T29" i="10"/>
  <c r="X29" i="10" s="1"/>
  <c r="Y29" i="10" s="1"/>
  <c r="T20" i="10"/>
  <c r="X20" i="10" s="1"/>
  <c r="T35" i="10"/>
  <c r="X35" i="10" s="1"/>
  <c r="T34" i="10"/>
  <c r="X34" i="10" s="1"/>
  <c r="AV5" i="6"/>
  <c r="L61" i="13"/>
  <c r="J24" i="10"/>
  <c r="AB24" i="10" s="1"/>
  <c r="BL53" i="6"/>
  <c r="BL22" i="6" s="1"/>
  <c r="L40" i="13" s="1"/>
  <c r="BL56" i="6"/>
  <c r="BL25" i="6" s="1"/>
  <c r="BL49" i="6"/>
  <c r="BL18" i="6" s="1"/>
  <c r="BL48" i="6"/>
  <c r="BL17" i="6" s="1"/>
  <c r="BL20" i="6"/>
  <c r="K18" i="20"/>
  <c r="K18" i="22"/>
  <c r="K38" i="20"/>
  <c r="K43" i="23"/>
  <c r="K43" i="21"/>
  <c r="K44" i="10"/>
  <c r="K49" i="10"/>
  <c r="K38" i="23"/>
  <c r="K38" i="21"/>
  <c r="K39" i="10"/>
  <c r="H16" i="13"/>
  <c r="K18" i="23"/>
  <c r="K18" i="21"/>
  <c r="K18" i="10"/>
  <c r="K43" i="24"/>
  <c r="K43" i="22"/>
  <c r="K43" i="20"/>
  <c r="K38" i="24"/>
  <c r="K38" i="22"/>
  <c r="K18" i="24"/>
  <c r="BL52" i="6"/>
  <c r="BL21" i="6" s="1"/>
  <c r="BL55" i="6"/>
  <c r="BL24" i="6" s="1"/>
  <c r="L42" i="13" s="1"/>
  <c r="BL54" i="6"/>
  <c r="BL23" i="6" s="1"/>
  <c r="L43" i="13" s="1"/>
  <c r="BL50" i="6"/>
  <c r="BL19" i="6" s="1"/>
  <c r="L41" i="13" s="1"/>
  <c r="BC18" i="6"/>
  <c r="BC26" i="6"/>
  <c r="F44" i="13" s="1"/>
  <c r="BC22" i="6"/>
  <c r="F40" i="13" s="1"/>
  <c r="BC19" i="6"/>
  <c r="F41" i="13" s="1"/>
  <c r="BC24" i="6"/>
  <c r="F43" i="13" s="1"/>
  <c r="BC21" i="6"/>
  <c r="BC23" i="6"/>
  <c r="BC17" i="6"/>
  <c r="BC25" i="6"/>
  <c r="F42" i="13" s="1"/>
  <c r="BC20" i="6"/>
  <c r="BA9" i="6"/>
  <c r="BB7" i="6"/>
  <c r="G45" i="21" s="1"/>
  <c r="S40" i="13"/>
  <c r="R40" i="13" s="1"/>
  <c r="B40" i="13" s="1"/>
  <c r="S41" i="13"/>
  <c r="R41" i="13" s="1"/>
  <c r="B41" i="13" s="1"/>
  <c r="S42" i="13"/>
  <c r="R42" i="13" s="1"/>
  <c r="B42" i="13" s="1"/>
  <c r="S43" i="13"/>
  <c r="R43" i="13" s="1"/>
  <c r="B43" i="13" s="1"/>
  <c r="S44" i="13"/>
  <c r="R44" i="13" s="1"/>
  <c r="B44" i="13" s="1"/>
  <c r="C6" i="24"/>
  <c r="C61" i="13"/>
  <c r="C39" i="13"/>
  <c r="BC10" i="6"/>
  <c r="J40" i="24" s="1"/>
  <c r="BC6" i="6"/>
  <c r="J40" i="20" s="1"/>
  <c r="BC5" i="6"/>
  <c r="J41" i="10" s="1"/>
  <c r="BC8" i="6"/>
  <c r="J40" i="22" s="1"/>
  <c r="BC7" i="6"/>
  <c r="J40" i="21" s="1"/>
  <c r="BC9" i="6"/>
  <c r="J40" i="23" s="1"/>
  <c r="R61" i="13"/>
  <c r="B61" i="13" s="1"/>
  <c r="S63" i="13"/>
  <c r="R63" i="13" s="1"/>
  <c r="B63" i="13" s="1"/>
  <c r="S66" i="13"/>
  <c r="R66" i="13" s="1"/>
  <c r="B66" i="13" s="1"/>
  <c r="S65" i="13"/>
  <c r="R65" i="13" s="1"/>
  <c r="B65" i="13" s="1"/>
  <c r="S64" i="13"/>
  <c r="R64" i="13" s="1"/>
  <c r="B64" i="13" s="1"/>
  <c r="S62" i="13"/>
  <c r="R62" i="13" s="1"/>
  <c r="B62" i="13" s="1"/>
  <c r="X10" i="6"/>
  <c r="X4" i="6"/>
  <c r="X5" i="6"/>
  <c r="X7" i="6"/>
  <c r="X8" i="6"/>
  <c r="X9" i="6"/>
  <c r="X11" i="6"/>
  <c r="X13" i="6"/>
  <c r="S53" i="13"/>
  <c r="R53" i="13" s="1"/>
  <c r="B53" i="13" s="1"/>
  <c r="S51" i="13"/>
  <c r="R51" i="13" s="1"/>
  <c r="B51" i="13" s="1"/>
  <c r="S52" i="13"/>
  <c r="R52" i="13" s="1"/>
  <c r="B52" i="13" s="1"/>
  <c r="S54" i="13"/>
  <c r="R54" i="13" s="1"/>
  <c r="B54" i="13" s="1"/>
  <c r="C55" i="13"/>
  <c r="I55" i="13" s="1"/>
  <c r="C46" i="24"/>
  <c r="J43" i="24" s="1"/>
  <c r="S21" i="24"/>
  <c r="O21" i="24" s="1"/>
  <c r="J21" i="24"/>
  <c r="K21" i="24" s="1"/>
  <c r="J23" i="24"/>
  <c r="K23" i="24" s="1"/>
  <c r="S23" i="24"/>
  <c r="O23" i="24" s="1"/>
  <c r="S27" i="24"/>
  <c r="O27" i="24" s="1"/>
  <c r="J27" i="24"/>
  <c r="B33" i="24"/>
  <c r="N33" i="24"/>
  <c r="J26" i="24"/>
  <c r="S26" i="24"/>
  <c r="O26" i="24" s="1"/>
  <c r="S25" i="24"/>
  <c r="O25" i="24" s="1"/>
  <c r="J25" i="24"/>
  <c r="T45" i="24"/>
  <c r="U45" i="24" s="1"/>
  <c r="S45" i="24"/>
  <c r="B34" i="24"/>
  <c r="N34" i="24"/>
  <c r="J31" i="24"/>
  <c r="S31" i="24"/>
  <c r="O31" i="24" s="1"/>
  <c r="J28" i="24"/>
  <c r="S28" i="24"/>
  <c r="O28" i="24" s="1"/>
  <c r="N35" i="24"/>
  <c r="B35" i="24"/>
  <c r="T44" i="24"/>
  <c r="U44" i="24" s="1"/>
  <c r="S44" i="24"/>
  <c r="J22" i="24"/>
  <c r="S22" i="24"/>
  <c r="O22" i="24" s="1"/>
  <c r="J29" i="24"/>
  <c r="S29" i="24"/>
  <c r="O29" i="24" s="1"/>
  <c r="S20" i="24"/>
  <c r="O20" i="24" s="1"/>
  <c r="J20" i="24"/>
  <c r="J30" i="23"/>
  <c r="K30" i="23" s="1"/>
  <c r="T50" i="24"/>
  <c r="U50" i="24" s="1"/>
  <c r="S50" i="24"/>
  <c r="T49" i="24"/>
  <c r="U49" i="24" s="1"/>
  <c r="S49" i="24"/>
  <c r="S29" i="23"/>
  <c r="O29" i="23" s="1"/>
  <c r="J29" i="23"/>
  <c r="K29" i="23" s="1"/>
  <c r="S28" i="23"/>
  <c r="O28" i="23" s="1"/>
  <c r="J28" i="23"/>
  <c r="B33" i="23"/>
  <c r="N33" i="23"/>
  <c r="S31" i="23"/>
  <c r="O31" i="23" s="1"/>
  <c r="J31" i="23"/>
  <c r="N34" i="23"/>
  <c r="B34" i="23"/>
  <c r="J20" i="23"/>
  <c r="S20" i="23"/>
  <c r="O20" i="23" s="1"/>
  <c r="J21" i="23"/>
  <c r="S21" i="23"/>
  <c r="O21" i="23" s="1"/>
  <c r="T44" i="23"/>
  <c r="U44" i="23" s="1"/>
  <c r="S44" i="23"/>
  <c r="J22" i="23"/>
  <c r="K22" i="23" s="1"/>
  <c r="S22" i="23"/>
  <c r="O22" i="23" s="1"/>
  <c r="S25" i="23"/>
  <c r="O25" i="23" s="1"/>
  <c r="J25" i="23"/>
  <c r="K25" i="23" s="1"/>
  <c r="S26" i="23"/>
  <c r="O26" i="23" s="1"/>
  <c r="J26" i="23"/>
  <c r="T45" i="23"/>
  <c r="U45" i="23" s="1"/>
  <c r="S45" i="23"/>
  <c r="S27" i="23"/>
  <c r="O27" i="23" s="1"/>
  <c r="J27" i="23"/>
  <c r="J23" i="23"/>
  <c r="K23" i="23" s="1"/>
  <c r="S23" i="23"/>
  <c r="O23" i="23" s="1"/>
  <c r="B35" i="23"/>
  <c r="N35" i="23"/>
  <c r="C46" i="23"/>
  <c r="J43" i="23" s="1"/>
  <c r="T49" i="23"/>
  <c r="U49" i="23" s="1"/>
  <c r="S49" i="23"/>
  <c r="T50" i="23"/>
  <c r="U50" i="23" s="1"/>
  <c r="S50" i="23"/>
  <c r="C6" i="22"/>
  <c r="C6" i="23"/>
  <c r="C46" i="22"/>
  <c r="J43" i="22" s="1"/>
  <c r="S21" i="22"/>
  <c r="O21" i="22" s="1"/>
  <c r="J21" i="22"/>
  <c r="K21" i="22" s="1"/>
  <c r="J25" i="22"/>
  <c r="K25" i="22" s="1"/>
  <c r="S25" i="22"/>
  <c r="O25" i="22" s="1"/>
  <c r="S29" i="22"/>
  <c r="O29" i="22" s="1"/>
  <c r="J29" i="22"/>
  <c r="T45" i="22"/>
  <c r="U45" i="22" s="1"/>
  <c r="S45" i="22"/>
  <c r="J31" i="22"/>
  <c r="K31" i="22" s="1"/>
  <c r="S31" i="22"/>
  <c r="O31" i="22" s="1"/>
  <c r="S27" i="22"/>
  <c r="O27" i="22" s="1"/>
  <c r="J27" i="22"/>
  <c r="J28" i="22"/>
  <c r="S28" i="22"/>
  <c r="O28" i="22" s="1"/>
  <c r="J22" i="22"/>
  <c r="K22" i="22" s="1"/>
  <c r="S22" i="22"/>
  <c r="O22" i="22" s="1"/>
  <c r="B33" i="22"/>
  <c r="N33" i="22"/>
  <c r="J20" i="22"/>
  <c r="S20" i="22"/>
  <c r="O20" i="22" s="1"/>
  <c r="N35" i="22"/>
  <c r="B35" i="22"/>
  <c r="T44" i="22"/>
  <c r="U44" i="22" s="1"/>
  <c r="S44" i="22"/>
  <c r="S26" i="22"/>
  <c r="O26" i="22" s="1"/>
  <c r="J26" i="22"/>
  <c r="B34" i="22"/>
  <c r="N34" i="22"/>
  <c r="S23" i="22"/>
  <c r="O23" i="22" s="1"/>
  <c r="J23" i="22"/>
  <c r="K23" i="22" s="1"/>
  <c r="T50" i="22"/>
  <c r="U50" i="22" s="1"/>
  <c r="S50" i="22"/>
  <c r="J30" i="21"/>
  <c r="K30" i="21" s="1"/>
  <c r="T49" i="22"/>
  <c r="U49" i="22" s="1"/>
  <c r="S49" i="22"/>
  <c r="S30" i="20"/>
  <c r="O30" i="20" s="1"/>
  <c r="C46" i="20"/>
  <c r="J43" i="20" s="1"/>
  <c r="S27" i="21"/>
  <c r="O27" i="21" s="1"/>
  <c r="J27" i="21"/>
  <c r="K27" i="21" s="1"/>
  <c r="J28" i="21"/>
  <c r="S28" i="21"/>
  <c r="O28" i="21" s="1"/>
  <c r="S20" i="21"/>
  <c r="O20" i="21" s="1"/>
  <c r="J20" i="21"/>
  <c r="S26" i="21"/>
  <c r="O26" i="21" s="1"/>
  <c r="J26" i="21"/>
  <c r="K26" i="21" s="1"/>
  <c r="J25" i="21"/>
  <c r="S25" i="21"/>
  <c r="O25" i="21" s="1"/>
  <c r="N35" i="21"/>
  <c r="B35" i="21"/>
  <c r="N34" i="21"/>
  <c r="B34" i="21"/>
  <c r="T45" i="21"/>
  <c r="U45" i="21" s="1"/>
  <c r="S45" i="21"/>
  <c r="S23" i="21"/>
  <c r="O23" i="21" s="1"/>
  <c r="J23" i="21"/>
  <c r="J31" i="21"/>
  <c r="S31" i="21"/>
  <c r="O31" i="21" s="1"/>
  <c r="B33" i="21"/>
  <c r="N33" i="21"/>
  <c r="S21" i="21"/>
  <c r="O21" i="21" s="1"/>
  <c r="J21" i="21"/>
  <c r="J22" i="21"/>
  <c r="K22" i="21" s="1"/>
  <c r="S22" i="21"/>
  <c r="O22" i="21" s="1"/>
  <c r="S29" i="21"/>
  <c r="O29" i="21" s="1"/>
  <c r="J29" i="21"/>
  <c r="T44" i="21"/>
  <c r="U44" i="21" s="1"/>
  <c r="S44" i="21"/>
  <c r="C46" i="21"/>
  <c r="J43" i="21" s="1"/>
  <c r="T49" i="21"/>
  <c r="U49" i="21" s="1"/>
  <c r="S49" i="21"/>
  <c r="C10" i="10"/>
  <c r="C6" i="21"/>
  <c r="S50" i="21"/>
  <c r="T50" i="21"/>
  <c r="U50" i="21" s="1"/>
  <c r="J21" i="20"/>
  <c r="K21" i="20" s="1"/>
  <c r="S21" i="20"/>
  <c r="O21" i="20" s="1"/>
  <c r="S44" i="20"/>
  <c r="S26" i="20"/>
  <c r="O26" i="20" s="1"/>
  <c r="J26" i="20"/>
  <c r="AB26" i="20" s="1"/>
  <c r="B35" i="20"/>
  <c r="N35" i="20"/>
  <c r="J28" i="20"/>
  <c r="K28" i="20" s="1"/>
  <c r="S28" i="20"/>
  <c r="O28" i="20" s="1"/>
  <c r="J25" i="20"/>
  <c r="AB25" i="20" s="1"/>
  <c r="S25" i="20"/>
  <c r="O25" i="20" s="1"/>
  <c r="J27" i="20"/>
  <c r="AB27" i="20" s="1"/>
  <c r="S27" i="20"/>
  <c r="O27" i="20" s="1"/>
  <c r="S23" i="20"/>
  <c r="O23" i="20" s="1"/>
  <c r="J23" i="20"/>
  <c r="K23" i="20" s="1"/>
  <c r="J31" i="20"/>
  <c r="S31" i="20"/>
  <c r="O31" i="20" s="1"/>
  <c r="J22" i="20"/>
  <c r="K22" i="20" s="1"/>
  <c r="S22" i="20"/>
  <c r="O22" i="20" s="1"/>
  <c r="S29" i="20"/>
  <c r="O29" i="20" s="1"/>
  <c r="J29" i="20"/>
  <c r="S20" i="20"/>
  <c r="O20" i="20" s="1"/>
  <c r="J20" i="20"/>
  <c r="N34" i="20"/>
  <c r="B34" i="20"/>
  <c r="B33" i="20"/>
  <c r="N33" i="20"/>
  <c r="S45" i="20"/>
  <c r="S49" i="20"/>
  <c r="G46" i="10"/>
  <c r="C6" i="20"/>
  <c r="C18" i="13"/>
  <c r="G4" i="7"/>
  <c r="C25" i="13" s="1"/>
  <c r="H70" i="13"/>
  <c r="S50" i="20"/>
  <c r="B36" i="10"/>
  <c r="B27" i="3"/>
  <c r="E11" i="7"/>
  <c r="C6" i="17"/>
  <c r="B18" i="3"/>
  <c r="B20" i="3"/>
  <c r="T46" i="10"/>
  <c r="U46" i="10" s="1"/>
  <c r="T45" i="10"/>
  <c r="U45" i="10" s="1"/>
  <c r="B19" i="3"/>
  <c r="U50" i="10"/>
  <c r="B15" i="3"/>
  <c r="V50" i="20" s="1"/>
  <c r="U51" i="10"/>
  <c r="C31" i="10"/>
  <c r="C6" i="16"/>
  <c r="F54" i="13"/>
  <c r="M54" i="13"/>
  <c r="I54" i="13"/>
  <c r="G54" i="13"/>
  <c r="C6" i="13"/>
  <c r="C6" i="10"/>
  <c r="B28" i="10"/>
  <c r="J32" i="10"/>
  <c r="AB32" i="10" s="1"/>
  <c r="S32" i="10"/>
  <c r="O32" i="10" s="1"/>
  <c r="I2" i="3"/>
  <c r="D2" i="24" s="1"/>
  <c r="N20" i="10"/>
  <c r="B23" i="10"/>
  <c r="B22" i="10"/>
  <c r="N22" i="10"/>
  <c r="S51" i="10"/>
  <c r="S50" i="10"/>
  <c r="N26" i="10"/>
  <c r="B26" i="10"/>
  <c r="B30" i="10"/>
  <c r="N30" i="10"/>
  <c r="N29" i="10"/>
  <c r="B29" i="10"/>
  <c r="B27" i="10"/>
  <c r="N27" i="10"/>
  <c r="N21" i="10"/>
  <c r="B21" i="10"/>
  <c r="Y20" i="10" l="1"/>
  <c r="F24" i="10"/>
  <c r="AI24" i="10"/>
  <c r="F26" i="20"/>
  <c r="AI26" i="20"/>
  <c r="F25" i="20"/>
  <c r="AI25" i="20"/>
  <c r="U23" i="10"/>
  <c r="AC24" i="10"/>
  <c r="AG24" i="10" s="1"/>
  <c r="AH24" i="10" s="1"/>
  <c r="K24" i="10"/>
  <c r="AG34" i="10"/>
  <c r="AH34" i="10" s="1"/>
  <c r="AE34" i="10"/>
  <c r="AD34" i="10"/>
  <c r="AG35" i="10"/>
  <c r="AE35" i="10"/>
  <c r="AD35" i="10"/>
  <c r="AE36" i="10"/>
  <c r="AD36" i="10"/>
  <c r="AG36" i="10"/>
  <c r="AH36" i="10" s="1"/>
  <c r="K26" i="20"/>
  <c r="K25" i="20"/>
  <c r="K27" i="20"/>
  <c r="AC25" i="20"/>
  <c r="AE22" i="10"/>
  <c r="AD22" i="10"/>
  <c r="F21" i="10"/>
  <c r="AC21" i="10"/>
  <c r="AG21" i="10" s="1"/>
  <c r="AI21" i="10"/>
  <c r="AE23" i="10"/>
  <c r="AD23" i="10"/>
  <c r="AC30" i="10"/>
  <c r="AG30" i="10" s="1"/>
  <c r="AH30" i="10" s="1"/>
  <c r="F30" i="10"/>
  <c r="AI30" i="10"/>
  <c r="AC32" i="10"/>
  <c r="F32" i="10"/>
  <c r="AI32" i="10"/>
  <c r="AG22" i="10"/>
  <c r="K32" i="10"/>
  <c r="AC27" i="10"/>
  <c r="F27" i="10"/>
  <c r="AI27" i="10"/>
  <c r="W23" i="10"/>
  <c r="AC28" i="10"/>
  <c r="F28" i="10"/>
  <c r="AI28" i="10"/>
  <c r="AC27" i="20"/>
  <c r="AG23" i="10"/>
  <c r="AH23" i="10" s="1"/>
  <c r="AC29" i="10"/>
  <c r="AG29" i="10" s="1"/>
  <c r="AH29" i="10" s="1"/>
  <c r="F29" i="10"/>
  <c r="AI29" i="10"/>
  <c r="AI26" i="10"/>
  <c r="F26" i="10"/>
  <c r="AC26" i="10"/>
  <c r="AE20" i="10"/>
  <c r="AD20" i="10"/>
  <c r="W22" i="10"/>
  <c r="V27" i="10"/>
  <c r="U27" i="10"/>
  <c r="U28" i="10"/>
  <c r="V28" i="10"/>
  <c r="V21" i="10"/>
  <c r="U21" i="10"/>
  <c r="U26" i="10"/>
  <c r="V26" i="10"/>
  <c r="X32" i="10"/>
  <c r="Y32" i="10" s="1"/>
  <c r="X26" i="10"/>
  <c r="Y26" i="10" s="1"/>
  <c r="V45" i="20"/>
  <c r="V33" i="20"/>
  <c r="U33" i="20"/>
  <c r="V35" i="20"/>
  <c r="U35" i="20"/>
  <c r="U34" i="24"/>
  <c r="V34" i="24"/>
  <c r="V33" i="21"/>
  <c r="U33" i="21"/>
  <c r="U34" i="20"/>
  <c r="V34" i="20"/>
  <c r="V34" i="22"/>
  <c r="U34" i="22"/>
  <c r="W34" i="22" s="1"/>
  <c r="U35" i="22"/>
  <c r="V35" i="22"/>
  <c r="V49" i="20"/>
  <c r="V33" i="22"/>
  <c r="U33" i="22"/>
  <c r="V35" i="21"/>
  <c r="U35" i="21"/>
  <c r="U34" i="23"/>
  <c r="V34" i="23"/>
  <c r="V33" i="23"/>
  <c r="U33" i="23"/>
  <c r="V34" i="21"/>
  <c r="U34" i="21"/>
  <c r="V44" i="20"/>
  <c r="U35" i="24"/>
  <c r="V35" i="24"/>
  <c r="V33" i="24"/>
  <c r="U33" i="24"/>
  <c r="W33" i="24" s="1"/>
  <c r="U35" i="23"/>
  <c r="V35" i="23"/>
  <c r="K20" i="20"/>
  <c r="X20" i="20"/>
  <c r="Y20" i="20" s="1"/>
  <c r="T20" i="20"/>
  <c r="K20" i="21"/>
  <c r="T20" i="21"/>
  <c r="X20" i="21" s="1"/>
  <c r="Y20" i="21" s="1"/>
  <c r="K20" i="22"/>
  <c r="T20" i="22"/>
  <c r="X20" i="22" s="1"/>
  <c r="Y20" i="22" s="1"/>
  <c r="K20" i="24"/>
  <c r="T20" i="24"/>
  <c r="X20" i="24" s="1"/>
  <c r="Y20" i="24" s="1"/>
  <c r="T20" i="23"/>
  <c r="X20" i="23" s="1"/>
  <c r="Y20" i="23" s="1"/>
  <c r="X28" i="23"/>
  <c r="Y28" i="23" s="1"/>
  <c r="T28" i="23"/>
  <c r="T22" i="20"/>
  <c r="X22" i="20" s="1"/>
  <c r="Y22" i="20" s="1"/>
  <c r="T26" i="24"/>
  <c r="X26" i="24" s="1"/>
  <c r="Y26" i="24" s="1"/>
  <c r="T21" i="24"/>
  <c r="X21" i="24" s="1"/>
  <c r="Y21" i="24" s="1"/>
  <c r="K28" i="23"/>
  <c r="T31" i="20"/>
  <c r="X31" i="20"/>
  <c r="Y31" i="20" s="1"/>
  <c r="T25" i="20"/>
  <c r="T23" i="22"/>
  <c r="X23" i="22" s="1"/>
  <c r="Y23" i="22" s="1"/>
  <c r="X27" i="22"/>
  <c r="Y27" i="22" s="1"/>
  <c r="T27" i="22"/>
  <c r="X29" i="22"/>
  <c r="Y29" i="22" s="1"/>
  <c r="T29" i="22"/>
  <c r="T27" i="23"/>
  <c r="X27" i="23"/>
  <c r="Y27" i="23" s="1"/>
  <c r="T25" i="23"/>
  <c r="X25" i="23" s="1"/>
  <c r="Y25" i="23" s="1"/>
  <c r="X31" i="23"/>
  <c r="Y31" i="23" s="1"/>
  <c r="T31" i="23"/>
  <c r="X29" i="23"/>
  <c r="Y29" i="23" s="1"/>
  <c r="T29" i="23"/>
  <c r="T30" i="23"/>
  <c r="X30" i="23"/>
  <c r="Y30" i="23" s="1"/>
  <c r="T22" i="24"/>
  <c r="X22" i="24"/>
  <c r="Y22" i="24" s="1"/>
  <c r="X28" i="24"/>
  <c r="Y28" i="24" s="1"/>
  <c r="T28" i="24"/>
  <c r="K22" i="24"/>
  <c r="K26" i="24"/>
  <c r="T27" i="20"/>
  <c r="X27" i="20" s="1"/>
  <c r="Y27" i="20" s="1"/>
  <c r="X31" i="21"/>
  <c r="Y31" i="21" s="1"/>
  <c r="T31" i="21"/>
  <c r="T26" i="23"/>
  <c r="T29" i="24"/>
  <c r="X29" i="24"/>
  <c r="Y29" i="24" s="1"/>
  <c r="X21" i="21"/>
  <c r="Y21" i="21" s="1"/>
  <c r="T21" i="21"/>
  <c r="T28" i="22"/>
  <c r="X28" i="22"/>
  <c r="Y28" i="22" s="1"/>
  <c r="X29" i="20"/>
  <c r="Y29" i="20" s="1"/>
  <c r="T29" i="20"/>
  <c r="T29" i="21"/>
  <c r="X29" i="21"/>
  <c r="Y29" i="21" s="1"/>
  <c r="T21" i="23"/>
  <c r="X21" i="23" s="1"/>
  <c r="Y21" i="23" s="1"/>
  <c r="T25" i="24"/>
  <c r="X25" i="24"/>
  <c r="Y25" i="24" s="1"/>
  <c r="X27" i="24"/>
  <c r="Y27" i="24" s="1"/>
  <c r="T27" i="24"/>
  <c r="K31" i="21"/>
  <c r="K27" i="22"/>
  <c r="K29" i="21"/>
  <c r="K31" i="23"/>
  <c r="K28" i="24"/>
  <c r="K28" i="22"/>
  <c r="X22" i="21"/>
  <c r="Y22" i="21" s="1"/>
  <c r="T22" i="21"/>
  <c r="X26" i="22"/>
  <c r="Y26" i="22" s="1"/>
  <c r="T26" i="22"/>
  <c r="T26" i="20"/>
  <c r="T23" i="23"/>
  <c r="X23" i="23"/>
  <c r="Y23" i="23" s="1"/>
  <c r="K29" i="24"/>
  <c r="T23" i="20"/>
  <c r="X23" i="20" s="1"/>
  <c r="Y23" i="20" s="1"/>
  <c r="X28" i="20"/>
  <c r="Y28" i="20" s="1"/>
  <c r="T28" i="20"/>
  <c r="T25" i="21"/>
  <c r="X25" i="21" s="1"/>
  <c r="Y25" i="21" s="1"/>
  <c r="T28" i="21"/>
  <c r="X28" i="21"/>
  <c r="Y28" i="21" s="1"/>
  <c r="T31" i="24"/>
  <c r="X31" i="24"/>
  <c r="Y31" i="24" s="1"/>
  <c r="K21" i="21"/>
  <c r="K25" i="21"/>
  <c r="K29" i="22"/>
  <c r="K29" i="20"/>
  <c r="K31" i="24"/>
  <c r="K21" i="23"/>
  <c r="K28" i="21"/>
  <c r="X21" i="22"/>
  <c r="Y21" i="22" s="1"/>
  <c r="T21" i="22"/>
  <c r="X23" i="24"/>
  <c r="Y23" i="24" s="1"/>
  <c r="T23" i="24"/>
  <c r="T23" i="21"/>
  <c r="X23" i="21"/>
  <c r="Y23" i="21" s="1"/>
  <c r="T21" i="20"/>
  <c r="X21" i="20" s="1"/>
  <c r="Y21" i="20" s="1"/>
  <c r="X26" i="21"/>
  <c r="Y26" i="21" s="1"/>
  <c r="T26" i="21"/>
  <c r="T27" i="21"/>
  <c r="X27" i="21"/>
  <c r="Y27" i="21" s="1"/>
  <c r="T30" i="21"/>
  <c r="X30" i="21"/>
  <c r="Y30" i="21" s="1"/>
  <c r="T22" i="22"/>
  <c r="X22" i="22" s="1"/>
  <c r="Y22" i="22" s="1"/>
  <c r="T31" i="22"/>
  <c r="X31" i="22"/>
  <c r="Y31" i="22" s="1"/>
  <c r="T25" i="22"/>
  <c r="X25" i="22" s="1"/>
  <c r="Y25" i="22" s="1"/>
  <c r="X22" i="23"/>
  <c r="Y22" i="23" s="1"/>
  <c r="T22" i="23"/>
  <c r="K26" i="23"/>
  <c r="K27" i="24"/>
  <c r="K23" i="21"/>
  <c r="K25" i="24"/>
  <c r="K27" i="23"/>
  <c r="K26" i="22"/>
  <c r="K31" i="20"/>
  <c r="N24" i="10"/>
  <c r="X24" i="10"/>
  <c r="Y24" i="10" s="1"/>
  <c r="T24" i="10"/>
  <c r="U24" i="10" s="1"/>
  <c r="T32" i="10"/>
  <c r="U32" i="10" s="1"/>
  <c r="U29" i="10"/>
  <c r="V29" i="10"/>
  <c r="U30" i="10"/>
  <c r="V30" i="10"/>
  <c r="V35" i="10"/>
  <c r="U35" i="10"/>
  <c r="V34" i="10"/>
  <c r="U34" i="10"/>
  <c r="Y34" i="10" s="1"/>
  <c r="V20" i="10"/>
  <c r="U20" i="10"/>
  <c r="U36" i="10"/>
  <c r="V36" i="10"/>
  <c r="BB9" i="6"/>
  <c r="G45" i="23" s="1"/>
  <c r="L44" i="13"/>
  <c r="BB10" i="6"/>
  <c r="G45" i="24" s="1"/>
  <c r="BB8" i="6"/>
  <c r="G45" i="22" s="1"/>
  <c r="BA10" i="6"/>
  <c r="G44" i="24" s="1"/>
  <c r="BB6" i="6"/>
  <c r="G45" i="20" s="1"/>
  <c r="BA6" i="6"/>
  <c r="G44" i="20" s="1"/>
  <c r="BA7" i="6"/>
  <c r="G44" i="21" s="1"/>
  <c r="BA8" i="6"/>
  <c r="G44" i="22" s="1"/>
  <c r="F55" i="13"/>
  <c r="G55" i="13"/>
  <c r="C56" i="13"/>
  <c r="S56" i="13" s="1"/>
  <c r="R56" i="13" s="1"/>
  <c r="B56" i="13" s="1"/>
  <c r="S55" i="13"/>
  <c r="R55" i="13" s="1"/>
  <c r="B55" i="13" s="1"/>
  <c r="M55" i="13"/>
  <c r="K40" i="24"/>
  <c r="S30" i="23"/>
  <c r="O30" i="23" s="1"/>
  <c r="B30" i="23" s="1"/>
  <c r="N25" i="24"/>
  <c r="B25" i="24"/>
  <c r="N27" i="24"/>
  <c r="B27" i="24"/>
  <c r="B22" i="24"/>
  <c r="N22" i="24"/>
  <c r="N28" i="24"/>
  <c r="B28" i="24"/>
  <c r="B26" i="24"/>
  <c r="N26" i="24"/>
  <c r="N23" i="24"/>
  <c r="B23" i="24"/>
  <c r="N20" i="24"/>
  <c r="B20" i="24"/>
  <c r="B29" i="24"/>
  <c r="N29" i="24"/>
  <c r="N31" i="24"/>
  <c r="B31" i="24"/>
  <c r="B21" i="24"/>
  <c r="N21" i="24"/>
  <c r="K40" i="23"/>
  <c r="C37" i="23"/>
  <c r="C37" i="24"/>
  <c r="V50" i="24"/>
  <c r="V49" i="24"/>
  <c r="V44" i="24"/>
  <c r="V45" i="24"/>
  <c r="G44" i="23"/>
  <c r="S30" i="24"/>
  <c r="O30" i="24" s="1"/>
  <c r="J30" i="24"/>
  <c r="B21" i="23"/>
  <c r="N21" i="23"/>
  <c r="B25" i="23"/>
  <c r="N25" i="23"/>
  <c r="B28" i="23"/>
  <c r="N28" i="23"/>
  <c r="B22" i="23"/>
  <c r="N22" i="23"/>
  <c r="N20" i="23"/>
  <c r="B20" i="23"/>
  <c r="B31" i="23"/>
  <c r="N31" i="23"/>
  <c r="B27" i="23"/>
  <c r="N27" i="23"/>
  <c r="S30" i="21"/>
  <c r="O30" i="21" s="1"/>
  <c r="B30" i="21" s="1"/>
  <c r="N23" i="23"/>
  <c r="B23" i="23"/>
  <c r="B26" i="23"/>
  <c r="N26" i="23"/>
  <c r="N29" i="23"/>
  <c r="B29" i="23"/>
  <c r="D2" i="22"/>
  <c r="D2" i="23"/>
  <c r="V50" i="23"/>
  <c r="V49" i="23"/>
  <c r="V44" i="23"/>
  <c r="V45" i="23"/>
  <c r="B22" i="22"/>
  <c r="N22" i="22"/>
  <c r="N27" i="22"/>
  <c r="B27" i="22"/>
  <c r="N26" i="22"/>
  <c r="B26" i="22"/>
  <c r="B20" i="22"/>
  <c r="N20" i="22"/>
  <c r="N31" i="22"/>
  <c r="B31" i="22"/>
  <c r="N25" i="22"/>
  <c r="B25" i="22"/>
  <c r="N28" i="22"/>
  <c r="B28" i="22"/>
  <c r="N23" i="22"/>
  <c r="B23" i="22"/>
  <c r="N29" i="22"/>
  <c r="B29" i="22"/>
  <c r="B21" i="22"/>
  <c r="N21" i="22"/>
  <c r="J30" i="20"/>
  <c r="S30" i="22"/>
  <c r="O30" i="22" s="1"/>
  <c r="J30" i="22"/>
  <c r="K40" i="21"/>
  <c r="V50" i="22"/>
  <c r="V49" i="22"/>
  <c r="V44" i="22"/>
  <c r="V45" i="22"/>
  <c r="K40" i="22"/>
  <c r="C37" i="21"/>
  <c r="C37" i="22"/>
  <c r="N22" i="21"/>
  <c r="B22" i="21"/>
  <c r="N29" i="21"/>
  <c r="B29" i="21"/>
  <c r="B25" i="21"/>
  <c r="N25" i="21"/>
  <c r="N20" i="21"/>
  <c r="B20" i="21"/>
  <c r="B28" i="21"/>
  <c r="N28" i="21"/>
  <c r="N21" i="21"/>
  <c r="B21" i="21"/>
  <c r="B26" i="21"/>
  <c r="N26" i="21"/>
  <c r="B31" i="21"/>
  <c r="N31" i="21"/>
  <c r="N23" i="21"/>
  <c r="B23" i="21"/>
  <c r="N27" i="21"/>
  <c r="B27" i="21"/>
  <c r="V50" i="21"/>
  <c r="V49" i="21"/>
  <c r="V45" i="21"/>
  <c r="V44" i="21"/>
  <c r="D2" i="21"/>
  <c r="D2" i="13"/>
  <c r="D2" i="20"/>
  <c r="D2" i="10"/>
  <c r="F2" i="17"/>
  <c r="E2" i="16"/>
  <c r="N20" i="20"/>
  <c r="B20" i="20"/>
  <c r="N25" i="20"/>
  <c r="B25" i="20"/>
  <c r="N26" i="20"/>
  <c r="B26" i="20"/>
  <c r="B29" i="20"/>
  <c r="N29" i="20"/>
  <c r="B23" i="20"/>
  <c r="N23" i="20"/>
  <c r="N28" i="20"/>
  <c r="B28" i="20"/>
  <c r="N21" i="20"/>
  <c r="B21" i="20"/>
  <c r="N31" i="20"/>
  <c r="B31" i="20"/>
  <c r="B22" i="20"/>
  <c r="N22" i="20"/>
  <c r="B27" i="20"/>
  <c r="N27" i="20"/>
  <c r="K41" i="10"/>
  <c r="C38" i="10"/>
  <c r="C37" i="20"/>
  <c r="G45" i="10"/>
  <c r="J50" i="10"/>
  <c r="K40" i="20"/>
  <c r="B30" i="20"/>
  <c r="N30" i="20"/>
  <c r="V46" i="10"/>
  <c r="V45" i="10"/>
  <c r="V51" i="10"/>
  <c r="V50" i="10"/>
  <c r="N28" i="10"/>
  <c r="B32" i="10"/>
  <c r="S31" i="10"/>
  <c r="O31" i="10" s="1"/>
  <c r="J31" i="10"/>
  <c r="AB31" i="10" s="1"/>
  <c r="AE24" i="10" l="1"/>
  <c r="AD24" i="10"/>
  <c r="AF24" i="10" s="1"/>
  <c r="W34" i="21"/>
  <c r="W21" i="10"/>
  <c r="AF36" i="10"/>
  <c r="AD25" i="20"/>
  <c r="AE25" i="20"/>
  <c r="W35" i="24"/>
  <c r="W34" i="20"/>
  <c r="AG27" i="20"/>
  <c r="AH27" i="20" s="1"/>
  <c r="AD27" i="20"/>
  <c r="AE27" i="20"/>
  <c r="F27" i="20"/>
  <c r="AI27" i="20"/>
  <c r="AF34" i="10"/>
  <c r="K34" i="10" s="1"/>
  <c r="AH35" i="10"/>
  <c r="AF35" i="10"/>
  <c r="W34" i="23"/>
  <c r="W33" i="21"/>
  <c r="W33" i="20"/>
  <c r="K33" i="20" s="1"/>
  <c r="W35" i="21"/>
  <c r="W34" i="24"/>
  <c r="AF20" i="10"/>
  <c r="AH22" i="10"/>
  <c r="AF23" i="10"/>
  <c r="AF22" i="10"/>
  <c r="AD27" i="10"/>
  <c r="AE27" i="10"/>
  <c r="AE32" i="10"/>
  <c r="AD32" i="10"/>
  <c r="AE28" i="10"/>
  <c r="AD28" i="10"/>
  <c r="AH21" i="10"/>
  <c r="AC26" i="20"/>
  <c r="AD26" i="10"/>
  <c r="AE26" i="10"/>
  <c r="K31" i="10"/>
  <c r="AG27" i="10"/>
  <c r="AH27" i="10" s="1"/>
  <c r="AD21" i="10"/>
  <c r="AE21" i="10"/>
  <c r="AG25" i="20"/>
  <c r="AH25" i="20" s="1"/>
  <c r="AI31" i="10"/>
  <c r="F31" i="10"/>
  <c r="AC31" i="10"/>
  <c r="AG31" i="10" s="1"/>
  <c r="AH31" i="10" s="1"/>
  <c r="W27" i="10"/>
  <c r="AG26" i="10"/>
  <c r="AH26" i="10" s="1"/>
  <c r="AD29" i="10"/>
  <c r="AE29" i="10"/>
  <c r="AG28" i="10"/>
  <c r="AH28" i="10" s="1"/>
  <c r="AG32" i="10"/>
  <c r="AH32" i="10" s="1"/>
  <c r="AE30" i="10"/>
  <c r="AD30" i="10"/>
  <c r="AH20" i="10"/>
  <c r="W26" i="10"/>
  <c r="W28" i="10"/>
  <c r="X31" i="10"/>
  <c r="Y31" i="10" s="1"/>
  <c r="W35" i="20"/>
  <c r="W35" i="23"/>
  <c r="W35" i="22"/>
  <c r="W33" i="23"/>
  <c r="W33" i="22"/>
  <c r="V20" i="24"/>
  <c r="U20" i="24"/>
  <c r="V20" i="21"/>
  <c r="U20" i="21"/>
  <c r="V20" i="23"/>
  <c r="U20" i="23"/>
  <c r="V20" i="22"/>
  <c r="U20" i="22"/>
  <c r="V20" i="20"/>
  <c r="U20" i="20"/>
  <c r="V21" i="21"/>
  <c r="U21" i="21"/>
  <c r="V25" i="24"/>
  <c r="U25" i="24"/>
  <c r="V29" i="24"/>
  <c r="U29" i="24"/>
  <c r="V22" i="24"/>
  <c r="U22" i="24"/>
  <c r="V25" i="20"/>
  <c r="U25" i="20"/>
  <c r="V26" i="23"/>
  <c r="U26" i="23"/>
  <c r="V27" i="22"/>
  <c r="U27" i="22"/>
  <c r="V26" i="24"/>
  <c r="U26" i="24"/>
  <c r="T30" i="22"/>
  <c r="X30" i="22"/>
  <c r="Y30" i="22" s="1"/>
  <c r="K30" i="22"/>
  <c r="V22" i="23"/>
  <c r="U22" i="23"/>
  <c r="U22" i="22"/>
  <c r="V22" i="22"/>
  <c r="V26" i="21"/>
  <c r="U26" i="21"/>
  <c r="V23" i="24"/>
  <c r="U23" i="24"/>
  <c r="U28" i="20"/>
  <c r="V28" i="20"/>
  <c r="V23" i="23"/>
  <c r="U23" i="23"/>
  <c r="U21" i="23"/>
  <c r="V21" i="23"/>
  <c r="U28" i="22"/>
  <c r="V28" i="22"/>
  <c r="X26" i="23"/>
  <c r="Y26" i="23" s="1"/>
  <c r="V30" i="23"/>
  <c r="U30" i="23"/>
  <c r="V25" i="23"/>
  <c r="U25" i="23"/>
  <c r="V31" i="20"/>
  <c r="U31" i="20"/>
  <c r="V23" i="21"/>
  <c r="U23" i="21"/>
  <c r="U22" i="21"/>
  <c r="V22" i="21"/>
  <c r="V31" i="24"/>
  <c r="U31" i="24"/>
  <c r="V26" i="20"/>
  <c r="U26" i="20"/>
  <c r="V31" i="21"/>
  <c r="U31" i="21"/>
  <c r="U28" i="24"/>
  <c r="V28" i="24"/>
  <c r="U29" i="23"/>
  <c r="V29" i="23"/>
  <c r="V23" i="22"/>
  <c r="U23" i="22"/>
  <c r="U22" i="20"/>
  <c r="V22" i="20"/>
  <c r="V27" i="21"/>
  <c r="U27" i="21"/>
  <c r="V25" i="21"/>
  <c r="U25" i="21"/>
  <c r="U27" i="24"/>
  <c r="V27" i="24"/>
  <c r="X30" i="24"/>
  <c r="Y30" i="24" s="1"/>
  <c r="T30" i="24"/>
  <c r="K30" i="24"/>
  <c r="U21" i="22"/>
  <c r="V21" i="22"/>
  <c r="U23" i="20"/>
  <c r="V23" i="20"/>
  <c r="X26" i="20"/>
  <c r="Y26" i="20" s="1"/>
  <c r="U29" i="21"/>
  <c r="V29" i="21"/>
  <c r="U27" i="23"/>
  <c r="V27" i="23"/>
  <c r="U21" i="24"/>
  <c r="V21" i="24"/>
  <c r="U28" i="23"/>
  <c r="V28" i="23"/>
  <c r="V31" i="22"/>
  <c r="U31" i="22"/>
  <c r="X30" i="20"/>
  <c r="Y30" i="20" s="1"/>
  <c r="T30" i="20"/>
  <c r="K30" i="20"/>
  <c r="V25" i="22"/>
  <c r="U25" i="22"/>
  <c r="U30" i="21"/>
  <c r="V30" i="21"/>
  <c r="U21" i="20"/>
  <c r="V21" i="20"/>
  <c r="V28" i="21"/>
  <c r="U28" i="21"/>
  <c r="V26" i="22"/>
  <c r="U26" i="22"/>
  <c r="U29" i="20"/>
  <c r="V29" i="20"/>
  <c r="V27" i="20"/>
  <c r="U27" i="20"/>
  <c r="V31" i="23"/>
  <c r="U31" i="23"/>
  <c r="V29" i="22"/>
  <c r="U29" i="22"/>
  <c r="X25" i="20"/>
  <c r="Y25" i="20" s="1"/>
  <c r="V24" i="10"/>
  <c r="W24" i="10" s="1"/>
  <c r="V32" i="10"/>
  <c r="W32" i="10" s="1"/>
  <c r="W20" i="10"/>
  <c r="Y35" i="10"/>
  <c r="W30" i="10"/>
  <c r="W29" i="10"/>
  <c r="T31" i="10"/>
  <c r="W36" i="10"/>
  <c r="W34" i="10"/>
  <c r="W35" i="10"/>
  <c r="F56" i="13"/>
  <c r="M56" i="13"/>
  <c r="I56" i="13"/>
  <c r="G56" i="13"/>
  <c r="J51" i="10"/>
  <c r="K51" i="10" s="1"/>
  <c r="J45" i="24"/>
  <c r="K45" i="24" s="1"/>
  <c r="N30" i="23"/>
  <c r="J44" i="24"/>
  <c r="K44" i="24" s="1"/>
  <c r="J44" i="23"/>
  <c r="K44" i="23" s="1"/>
  <c r="J45" i="22"/>
  <c r="K45" i="22" s="1"/>
  <c r="B30" i="24"/>
  <c r="I9" i="3" s="1"/>
  <c r="N30" i="24"/>
  <c r="I8" i="3"/>
  <c r="N30" i="21"/>
  <c r="J45" i="21"/>
  <c r="K45" i="21" s="1"/>
  <c r="J45" i="23"/>
  <c r="K45" i="23" s="1"/>
  <c r="J44" i="21"/>
  <c r="K44" i="21" s="1"/>
  <c r="I6" i="3"/>
  <c r="N30" i="22"/>
  <c r="B30" i="22"/>
  <c r="I7" i="3" s="1"/>
  <c r="J44" i="22"/>
  <c r="K44" i="22" s="1"/>
  <c r="I5" i="3"/>
  <c r="J44" i="20"/>
  <c r="K44" i="20" s="1"/>
  <c r="J45" i="10"/>
  <c r="K45" i="10" s="1"/>
  <c r="K50" i="10"/>
  <c r="J45" i="20"/>
  <c r="K45" i="20" s="1"/>
  <c r="J46" i="10"/>
  <c r="K46" i="10" s="1"/>
  <c r="S46" i="10"/>
  <c r="S45" i="10"/>
  <c r="N32" i="10"/>
  <c r="N31" i="10"/>
  <c r="AD26" i="20" l="1"/>
  <c r="AE26" i="20"/>
  <c r="W20" i="20"/>
  <c r="W20" i="21"/>
  <c r="AF28" i="10"/>
  <c r="AF30" i="10"/>
  <c r="AF26" i="10"/>
  <c r="AF27" i="10"/>
  <c r="AF32" i="10"/>
  <c r="K26" i="10"/>
  <c r="AF21" i="10"/>
  <c r="K21" i="10" s="1"/>
  <c r="AF27" i="20"/>
  <c r="AF25" i="20"/>
  <c r="AD31" i="10"/>
  <c r="AE31" i="10"/>
  <c r="AF29" i="10"/>
  <c r="AG26" i="20"/>
  <c r="AH26" i="20" s="1"/>
  <c r="W29" i="20"/>
  <c r="W31" i="22"/>
  <c r="W27" i="23"/>
  <c r="W27" i="24"/>
  <c r="W31" i="24"/>
  <c r="W31" i="20"/>
  <c r="W26" i="23"/>
  <c r="W29" i="24"/>
  <c r="W27" i="20"/>
  <c r="W21" i="22"/>
  <c r="W25" i="21"/>
  <c r="W23" i="22"/>
  <c r="W31" i="21"/>
  <c r="W25" i="23"/>
  <c r="W28" i="22"/>
  <c r="W26" i="24"/>
  <c r="W25" i="20"/>
  <c r="W25" i="24"/>
  <c r="W20" i="22"/>
  <c r="W31" i="23"/>
  <c r="W28" i="20"/>
  <c r="W20" i="23"/>
  <c r="K20" i="23" s="1"/>
  <c r="K36" i="23" s="1"/>
  <c r="W20" i="24"/>
  <c r="W26" i="22"/>
  <c r="W21" i="24"/>
  <c r="W29" i="23"/>
  <c r="W23" i="23"/>
  <c r="W26" i="21"/>
  <c r="W21" i="21"/>
  <c r="W23" i="24"/>
  <c r="W22" i="23"/>
  <c r="W28" i="21"/>
  <c r="W25" i="22"/>
  <c r="W22" i="20"/>
  <c r="W28" i="24"/>
  <c r="V30" i="22"/>
  <c r="U30" i="22"/>
  <c r="W30" i="21"/>
  <c r="W23" i="20"/>
  <c r="W22" i="22"/>
  <c r="W29" i="22"/>
  <c r="W28" i="23"/>
  <c r="W29" i="21"/>
  <c r="W22" i="21"/>
  <c r="W21" i="20"/>
  <c r="V30" i="20"/>
  <c r="U30" i="20"/>
  <c r="V30" i="24"/>
  <c r="U30" i="24"/>
  <c r="W27" i="21"/>
  <c r="W26" i="20"/>
  <c r="W23" i="21"/>
  <c r="W30" i="23"/>
  <c r="W21" i="23"/>
  <c r="W27" i="22"/>
  <c r="W22" i="24"/>
  <c r="U31" i="10"/>
  <c r="V31" i="10"/>
  <c r="AX8" i="6"/>
  <c r="AY8" i="6"/>
  <c r="D23" i="13"/>
  <c r="S23" i="13" s="1"/>
  <c r="R23" i="13" s="1"/>
  <c r="B23" i="13" s="1"/>
  <c r="AX10" i="6"/>
  <c r="AY10" i="6"/>
  <c r="AX6" i="6"/>
  <c r="AY6" i="6"/>
  <c r="AY9" i="6"/>
  <c r="AW9" i="6"/>
  <c r="AX9" i="6"/>
  <c r="AZ9" i="6"/>
  <c r="AW7" i="6"/>
  <c r="AX7" i="6"/>
  <c r="AY7" i="6"/>
  <c r="AZ7" i="6"/>
  <c r="D22" i="13"/>
  <c r="S22" i="13" s="1"/>
  <c r="R22" i="13" s="1"/>
  <c r="B22" i="13" s="1"/>
  <c r="H22" i="13"/>
  <c r="D20" i="13"/>
  <c r="S20" i="13" s="1"/>
  <c r="R20" i="13" s="1"/>
  <c r="B20" i="13" s="1"/>
  <c r="H20" i="13"/>
  <c r="H23" i="13"/>
  <c r="AZ10" i="6" s="1"/>
  <c r="H6" i="24"/>
  <c r="D21" i="13"/>
  <c r="S21" i="13" s="1"/>
  <c r="R21" i="13" s="1"/>
  <c r="B21" i="13" s="1"/>
  <c r="H21" i="13"/>
  <c r="AZ8" i="6" s="1"/>
  <c r="H2" i="24"/>
  <c r="D19" i="13"/>
  <c r="S19" i="13" s="1"/>
  <c r="R19" i="13" s="1"/>
  <c r="B19" i="13" s="1"/>
  <c r="J10" i="24"/>
  <c r="L4" i="24"/>
  <c r="P4" i="13"/>
  <c r="Q4" i="17"/>
  <c r="L4" i="22"/>
  <c r="O4" i="16"/>
  <c r="L4" i="20"/>
  <c r="L4" i="23"/>
  <c r="L4" i="10"/>
  <c r="L4" i="21"/>
  <c r="L2" i="23"/>
  <c r="L2" i="22"/>
  <c r="L2" i="24"/>
  <c r="Q2" i="17"/>
  <c r="L2" i="20"/>
  <c r="J10" i="23"/>
  <c r="O2" i="16"/>
  <c r="L2" i="10"/>
  <c r="P2" i="13"/>
  <c r="L2" i="21"/>
  <c r="F22" i="13"/>
  <c r="H4" i="23"/>
  <c r="H4" i="24"/>
  <c r="H6" i="23"/>
  <c r="H2" i="22"/>
  <c r="H2" i="23"/>
  <c r="K36" i="21"/>
  <c r="H6" i="20"/>
  <c r="H6" i="10"/>
  <c r="K6" i="16"/>
  <c r="H6" i="22"/>
  <c r="J10" i="22"/>
  <c r="K6" i="17"/>
  <c r="J6" i="13"/>
  <c r="H6" i="21"/>
  <c r="J10" i="21"/>
  <c r="H4" i="22"/>
  <c r="H4" i="10"/>
  <c r="J4" i="13"/>
  <c r="K4" i="16"/>
  <c r="H4" i="20"/>
  <c r="K4" i="17"/>
  <c r="H4" i="21"/>
  <c r="F20" i="13"/>
  <c r="H19" i="13"/>
  <c r="AZ6" i="6" s="1"/>
  <c r="H2" i="21"/>
  <c r="H2" i="20"/>
  <c r="K2" i="17"/>
  <c r="J10" i="20"/>
  <c r="H2" i="10"/>
  <c r="J2" i="13"/>
  <c r="K2" i="16"/>
  <c r="B31" i="10"/>
  <c r="I4" i="3" s="1"/>
  <c r="AF31" i="10" l="1"/>
  <c r="AF26" i="20"/>
  <c r="W30" i="20"/>
  <c r="W30" i="24"/>
  <c r="W30" i="22"/>
  <c r="W31" i="10"/>
  <c r="K36" i="22"/>
  <c r="AW8" i="6" s="1"/>
  <c r="F21" i="13"/>
  <c r="K36" i="24"/>
  <c r="AW10" i="6" s="1"/>
  <c r="F23" i="13" s="1"/>
  <c r="I10" i="3"/>
  <c r="K36" i="20"/>
  <c r="AW6" i="6" s="1"/>
  <c r="F19" i="13" s="1"/>
  <c r="H18" i="13"/>
  <c r="K37" i="10" l="1"/>
  <c r="AW5" i="6" s="1"/>
  <c r="D18" i="13"/>
  <c r="L10" i="13"/>
  <c r="L6" i="24"/>
  <c r="L6" i="10"/>
  <c r="L6" i="20"/>
  <c r="O6" i="16"/>
  <c r="L6" i="21"/>
  <c r="L6" i="23"/>
  <c r="Q6" i="17"/>
  <c r="P6" i="13"/>
  <c r="L6" i="22"/>
  <c r="D6" i="23"/>
  <c r="D6" i="24"/>
  <c r="D6" i="21"/>
  <c r="D6" i="22"/>
  <c r="J10" i="10"/>
  <c r="D6" i="20"/>
  <c r="F6" i="17"/>
  <c r="D6" i="13"/>
  <c r="D6" i="10"/>
  <c r="E6" i="16"/>
  <c r="AY5" i="6"/>
  <c r="AX5" i="6"/>
  <c r="AZ5" i="6"/>
  <c r="F18" i="13" l="1"/>
  <c r="S18" i="13"/>
  <c r="R18" i="13" s="1"/>
  <c r="B18" i="13" s="1"/>
  <c r="R25" i="16"/>
  <c r="Q25" i="16" s="1"/>
  <c r="B25" i="16" l="1"/>
  <c r="I3" i="3" s="1"/>
  <c r="D4" i="23" l="1"/>
  <c r="D4" i="24"/>
  <c r="D4" i="21"/>
  <c r="D4" i="22"/>
  <c r="E4" i="16"/>
  <c r="D4" i="20"/>
  <c r="F4" i="17"/>
  <c r="D4" i="13"/>
  <c r="D4" i="10"/>
  <c r="M10" i="16"/>
  <c r="I11" i="3"/>
  <c r="M4" i="3" s="1"/>
  <c r="O45" i="17" s="1"/>
  <c r="O48" i="17" l="1"/>
  <c r="O46" i="17"/>
  <c r="O50" i="17"/>
  <c r="O47" i="17"/>
  <c r="O49" i="17"/>
  <c r="I15" i="13"/>
  <c r="M49" i="17"/>
  <c r="M47" i="17"/>
  <c r="M46" i="17"/>
  <c r="M50" i="17"/>
  <c r="M45" i="17"/>
  <c r="M48" i="17"/>
  <c r="C52"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2" authorId="0" shapeId="0" xr:uid="{00000000-0006-0000-0900-000001000000}">
      <text>
        <r>
          <rPr>
            <b/>
            <sz val="9"/>
            <color indexed="81"/>
            <rFont val="Segoe UI"/>
            <family val="2"/>
          </rPr>
          <t>Energie Tirol:</t>
        </r>
        <r>
          <rPr>
            <sz val="9"/>
            <color indexed="81"/>
            <rFont val="Segoe UI"/>
            <family val="2"/>
          </rPr>
          <t xml:space="preserve">
Hier 4,23% für CostOpt</t>
        </r>
      </text>
    </comment>
    <comment ref="B13" authorId="0" shapeId="0" xr:uid="{00000000-0006-0000-0900-000002000000}">
      <text>
        <r>
          <rPr>
            <b/>
            <sz val="9"/>
            <color indexed="81"/>
            <rFont val="Segoe UI"/>
            <family val="2"/>
          </rPr>
          <t>Energie Tirol:</t>
        </r>
        <r>
          <rPr>
            <sz val="9"/>
            <color indexed="81"/>
            <rFont val="Segoe UI"/>
            <family val="2"/>
          </rPr>
          <t xml:space="preserve">
Hier 2,00% für CostOpt</t>
        </r>
      </text>
    </comment>
    <comment ref="B14" authorId="0" shapeId="0" xr:uid="{00000000-0006-0000-0900-000003000000}">
      <text>
        <r>
          <rPr>
            <b/>
            <sz val="9"/>
            <color indexed="81"/>
            <rFont val="Segoe UI"/>
            <family val="2"/>
          </rPr>
          <t>Energie Tirol:</t>
        </r>
        <r>
          <rPr>
            <sz val="9"/>
            <color indexed="81"/>
            <rFont val="Segoe UI"/>
            <family val="2"/>
          </rPr>
          <t xml:space="preserve">
Hier muss 2,19% für CostOpt</t>
        </r>
      </text>
    </comment>
    <comment ref="B16" authorId="0" shapeId="0" xr:uid="{00000000-0006-0000-0900-000004000000}">
      <text>
        <r>
          <rPr>
            <b/>
            <sz val="9"/>
            <color indexed="81"/>
            <rFont val="Segoe UI"/>
            <family val="2"/>
          </rPr>
          <t>Energie Tirol:</t>
        </r>
        <r>
          <rPr>
            <sz val="9"/>
            <color indexed="81"/>
            <rFont val="Segoe UI"/>
            <family val="2"/>
          </rPr>
          <t xml:space="preserve">
NUR mit Ri=Rp validiert!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Michael</author>
  </authors>
  <commentList>
    <comment ref="AY5" authorId="0" shapeId="0" xr:uid="{00000000-0006-0000-0A00-000001000000}">
      <text>
        <r>
          <rPr>
            <b/>
            <sz val="9"/>
            <color indexed="81"/>
            <rFont val="Segoe UI"/>
            <family val="2"/>
          </rPr>
          <t>Energie Tirol:</t>
        </r>
        <r>
          <rPr>
            <sz val="9"/>
            <color indexed="81"/>
            <rFont val="Segoe UI"/>
            <family val="2"/>
          </rPr>
          <t xml:space="preserve">
inklusive Erträge PV</t>
        </r>
      </text>
    </comment>
    <comment ref="AW17" authorId="1" shapeId="0" xr:uid="{00000000-0006-0000-0A00-000002000000}">
      <text>
        <r>
          <rPr>
            <b/>
            <sz val="9"/>
            <color indexed="81"/>
            <rFont val="Segoe UI"/>
            <family val="2"/>
          </rPr>
          <t>Energie Tirol:</t>
        </r>
        <r>
          <rPr>
            <sz val="9"/>
            <color indexed="81"/>
            <rFont val="Segoe UI"/>
            <family val="2"/>
          </rPr>
          <t xml:space="preserve">
analog Gas-BW angesetzt</t>
        </r>
      </text>
    </comment>
    <comment ref="AX17" authorId="1" shapeId="0" xr:uid="{00000000-0006-0000-0A00-000003000000}">
      <text>
        <r>
          <rPr>
            <b/>
            <sz val="9"/>
            <color indexed="81"/>
            <rFont val="Segoe UI"/>
            <family val="2"/>
          </rPr>
          <t>Energie Tirol:</t>
        </r>
        <r>
          <rPr>
            <sz val="9"/>
            <color indexed="81"/>
            <rFont val="Segoe UI"/>
            <family val="2"/>
          </rPr>
          <t xml:space="preserve">
analog Gas-BW angesetzt</t>
        </r>
      </text>
    </comment>
    <comment ref="AY17" authorId="1" shapeId="0" xr:uid="{00000000-0006-0000-0A00-000004000000}">
      <text>
        <r>
          <rPr>
            <b/>
            <sz val="9"/>
            <color indexed="81"/>
            <rFont val="Segoe UI"/>
            <family val="2"/>
          </rPr>
          <t>Energie Tirol:</t>
        </r>
        <r>
          <rPr>
            <sz val="9"/>
            <color indexed="81"/>
            <rFont val="Segoe UI"/>
            <family val="2"/>
          </rPr>
          <t xml:space="preserve">
analog Gas-BW angesetzt</t>
        </r>
      </text>
    </comment>
    <comment ref="AZ17" authorId="1" shapeId="0" xr:uid="{00000000-0006-0000-0A00-000005000000}">
      <text>
        <r>
          <rPr>
            <b/>
            <sz val="9"/>
            <color indexed="81"/>
            <rFont val="Segoe UI"/>
            <family val="2"/>
          </rPr>
          <t>Energie Tirol:</t>
        </r>
        <r>
          <rPr>
            <sz val="9"/>
            <color indexed="81"/>
            <rFont val="Segoe UI"/>
            <family val="2"/>
          </rPr>
          <t xml:space="preserve">
analog Gas-BW angesetzt</t>
        </r>
      </text>
    </comment>
    <comment ref="BA17" authorId="1" shapeId="0" xr:uid="{00000000-0006-0000-0A00-000006000000}">
      <text>
        <r>
          <rPr>
            <b/>
            <sz val="9"/>
            <color indexed="81"/>
            <rFont val="Segoe UI"/>
            <family val="2"/>
          </rPr>
          <t>Energie Tirol:</t>
        </r>
        <r>
          <rPr>
            <sz val="9"/>
            <color indexed="81"/>
            <rFont val="Segoe UI"/>
            <family val="2"/>
          </rPr>
          <t xml:space="preserve">
analog Gas-BW angesetzt</t>
        </r>
      </text>
    </comment>
    <comment ref="BF17" authorId="1" shapeId="0" xr:uid="{00000000-0006-0000-0A00-000007000000}">
      <text>
        <r>
          <rPr>
            <b/>
            <sz val="9"/>
            <color indexed="81"/>
            <rFont val="Segoe UI"/>
            <family val="2"/>
          </rPr>
          <t>Energie Tirol:</t>
        </r>
        <r>
          <rPr>
            <sz val="9"/>
            <color indexed="81"/>
            <rFont val="Segoe UI"/>
            <family val="2"/>
          </rPr>
          <t xml:space="preserve">
analog Gas-BW angesetzt</t>
        </r>
      </text>
    </comment>
    <comment ref="BG17" authorId="1" shapeId="0" xr:uid="{00000000-0006-0000-0A00-000008000000}">
      <text>
        <r>
          <rPr>
            <b/>
            <sz val="9"/>
            <color indexed="81"/>
            <rFont val="Segoe UI"/>
            <family val="2"/>
          </rPr>
          <t>Energie Tirol:</t>
        </r>
        <r>
          <rPr>
            <sz val="9"/>
            <color indexed="81"/>
            <rFont val="Segoe UI"/>
            <family val="2"/>
          </rPr>
          <t xml:space="preserve">
analog Gas-BW angesetzt</t>
        </r>
      </text>
    </comment>
    <comment ref="BH17" authorId="1" shapeId="0" xr:uid="{00000000-0006-0000-0A00-000009000000}">
      <text>
        <r>
          <rPr>
            <b/>
            <sz val="9"/>
            <color indexed="81"/>
            <rFont val="Segoe UI"/>
            <family val="2"/>
          </rPr>
          <t>Energie Tirol:</t>
        </r>
        <r>
          <rPr>
            <sz val="9"/>
            <color indexed="81"/>
            <rFont val="Segoe UI"/>
            <family val="2"/>
          </rPr>
          <t xml:space="preserve">
analog Gas-BW angesetzt</t>
        </r>
      </text>
    </comment>
    <comment ref="BI17" authorId="1" shapeId="0" xr:uid="{00000000-0006-0000-0A00-00000A000000}">
      <text>
        <r>
          <rPr>
            <b/>
            <sz val="9"/>
            <color indexed="81"/>
            <rFont val="Segoe UI"/>
            <family val="2"/>
          </rPr>
          <t>Energie Tirol:</t>
        </r>
        <r>
          <rPr>
            <sz val="9"/>
            <color indexed="81"/>
            <rFont val="Segoe UI"/>
            <family val="2"/>
          </rPr>
          <t xml:space="preserve">
analog Gas-BW angesetzt</t>
        </r>
      </text>
    </comment>
    <comment ref="BJ17" authorId="1" shapeId="0" xr:uid="{00000000-0006-0000-0A00-00000B000000}">
      <text>
        <r>
          <rPr>
            <b/>
            <sz val="9"/>
            <color indexed="81"/>
            <rFont val="Segoe UI"/>
            <family val="2"/>
          </rPr>
          <t>Energie Tirol:</t>
        </r>
        <r>
          <rPr>
            <sz val="9"/>
            <color indexed="81"/>
            <rFont val="Segoe UI"/>
            <family val="2"/>
          </rPr>
          <t xml:space="preserve">
analog Gas-BW angesetzt</t>
        </r>
      </text>
    </comment>
    <comment ref="BH25" authorId="1" shapeId="0" xr:uid="{00000000-0006-0000-0A00-00000C000000}">
      <text>
        <r>
          <rPr>
            <b/>
            <sz val="9"/>
            <color indexed="81"/>
            <rFont val="Segoe UI"/>
            <family val="2"/>
          </rPr>
          <t>Energie Tirol:</t>
        </r>
        <r>
          <rPr>
            <sz val="9"/>
            <color indexed="81"/>
            <rFont val="Segoe UI"/>
            <family val="2"/>
          </rPr>
          <t xml:space="preserve">
WP-L gleichgesetzt</t>
        </r>
      </text>
    </comment>
    <comment ref="BI25" authorId="1" shapeId="0" xr:uid="{00000000-0006-0000-0A00-00000D000000}">
      <text>
        <r>
          <rPr>
            <b/>
            <sz val="9"/>
            <color indexed="81"/>
            <rFont val="Segoe UI"/>
            <family val="2"/>
          </rPr>
          <t>Energie Tirol:</t>
        </r>
        <r>
          <rPr>
            <sz val="9"/>
            <color indexed="81"/>
            <rFont val="Segoe UI"/>
            <family val="2"/>
          </rPr>
          <t xml:space="preserve">
WP-L gleichgesetzt</t>
        </r>
      </text>
    </comment>
    <comment ref="BJ25" authorId="1" shapeId="0" xr:uid="{00000000-0006-0000-0A00-00000E000000}">
      <text>
        <r>
          <rPr>
            <b/>
            <sz val="9"/>
            <color indexed="81"/>
            <rFont val="Segoe UI"/>
            <family val="2"/>
          </rPr>
          <t>Energie Tirol:</t>
        </r>
        <r>
          <rPr>
            <sz val="9"/>
            <color indexed="81"/>
            <rFont val="Segoe UI"/>
            <family val="2"/>
          </rPr>
          <t xml:space="preserve">
WP-L gleichgesetzt</t>
        </r>
      </text>
    </comment>
    <comment ref="AY26" authorId="1" shapeId="0" xr:uid="{00000000-0006-0000-0A00-00000F000000}">
      <text>
        <r>
          <rPr>
            <b/>
            <sz val="9"/>
            <color indexed="81"/>
            <rFont val="Segoe UI"/>
            <family val="2"/>
          </rPr>
          <t>Energie Tirol:</t>
        </r>
        <r>
          <rPr>
            <sz val="9"/>
            <color indexed="81"/>
            <rFont val="Segoe UI"/>
            <family val="2"/>
          </rPr>
          <t xml:space="preserve">
+14% zu WP-W (Vgl. EFH)</t>
        </r>
      </text>
    </comment>
    <comment ref="AZ26" authorId="1" shapeId="0" xr:uid="{00000000-0006-0000-0A00-000010000000}">
      <text>
        <r>
          <rPr>
            <b/>
            <sz val="9"/>
            <color indexed="81"/>
            <rFont val="Segoe UI"/>
            <family val="2"/>
          </rPr>
          <t>Energie Tirol:</t>
        </r>
        <r>
          <rPr>
            <sz val="9"/>
            <color indexed="81"/>
            <rFont val="Segoe UI"/>
            <family val="2"/>
          </rPr>
          <t xml:space="preserve">
+14% zu WP-W (Vgl. EFH)</t>
        </r>
      </text>
    </comment>
    <comment ref="BA26" authorId="1" shapeId="0" xr:uid="{00000000-0006-0000-0A00-000011000000}">
      <text>
        <r>
          <rPr>
            <b/>
            <sz val="9"/>
            <color indexed="81"/>
            <rFont val="Segoe UI"/>
            <family val="2"/>
          </rPr>
          <t>Energie Tirol:</t>
        </r>
        <r>
          <rPr>
            <sz val="9"/>
            <color indexed="81"/>
            <rFont val="Segoe UI"/>
            <family val="2"/>
          </rPr>
          <t xml:space="preserve">
+14% zu WP-W (Vgl. EFH)</t>
        </r>
      </text>
    </comment>
  </commentList>
</comments>
</file>

<file path=xl/sharedStrings.xml><?xml version="1.0" encoding="utf-8"?>
<sst xmlns="http://schemas.openxmlformats.org/spreadsheetml/2006/main" count="665" uniqueCount="368">
  <si>
    <t>Marktzinssatz</t>
  </si>
  <si>
    <t>Diskontsatz</t>
  </si>
  <si>
    <t>Restwert</t>
  </si>
  <si>
    <t>Investitionskosten</t>
  </si>
  <si>
    <t>Wiederbeschaffung</t>
  </si>
  <si>
    <t>Pellets</t>
  </si>
  <si>
    <t>Strom</t>
  </si>
  <si>
    <t>Energiekosten</t>
  </si>
  <si>
    <t>Energieträger</t>
  </si>
  <si>
    <t>Wartung und Instandhaltung</t>
  </si>
  <si>
    <t>Erdgas</t>
  </si>
  <si>
    <t>Heizöl</t>
  </si>
  <si>
    <t>Konversionsfaktoren</t>
  </si>
  <si>
    <r>
      <t>f</t>
    </r>
    <r>
      <rPr>
        <vertAlign val="subscript"/>
        <sz val="11"/>
        <rFont val="Arial Narrow"/>
        <family val="2"/>
      </rPr>
      <t>PE</t>
    </r>
  </si>
  <si>
    <r>
      <t>f</t>
    </r>
    <r>
      <rPr>
        <vertAlign val="subscript"/>
        <sz val="11"/>
        <rFont val="Arial Narrow"/>
        <family val="2"/>
      </rPr>
      <t>PE, n.ern</t>
    </r>
  </si>
  <si>
    <r>
      <t>f</t>
    </r>
    <r>
      <rPr>
        <vertAlign val="subscript"/>
        <sz val="11"/>
        <rFont val="Arial Narrow"/>
        <family val="2"/>
      </rPr>
      <t>CO2</t>
    </r>
    <r>
      <rPr>
        <sz val="11"/>
        <rFont val="Arial Narrow"/>
        <family val="2"/>
      </rPr>
      <t xml:space="preserve"> [g/kWh]</t>
    </r>
  </si>
  <si>
    <t>Rahmenbedingungen</t>
  </si>
  <si>
    <t>ÖNORM B 8110-5:2019-03-15</t>
  </si>
  <si>
    <t>ÖNORM EN 15459:2008-06-01</t>
  </si>
  <si>
    <t>Wirtschaftlichkeitsberechnung</t>
  </si>
  <si>
    <t>Default</t>
  </si>
  <si>
    <r>
      <t>Betrachtungszeitraum</t>
    </r>
    <r>
      <rPr>
        <sz val="11"/>
        <rFont val="Symbol"/>
        <family val="1"/>
        <charset val="2"/>
      </rPr>
      <t xml:space="preserve"> t</t>
    </r>
  </si>
  <si>
    <r>
      <t>Realzinssatz R</t>
    </r>
    <r>
      <rPr>
        <vertAlign val="subscript"/>
        <sz val="11"/>
        <rFont val="Arial Narrow"/>
        <family val="2"/>
      </rPr>
      <t>R</t>
    </r>
  </si>
  <si>
    <t>Bürogebäude</t>
  </si>
  <si>
    <t>Krankenhäuser</t>
  </si>
  <si>
    <t>Gaststätten</t>
  </si>
  <si>
    <t>Sportstätten</t>
  </si>
  <si>
    <t>Verkaufsstätten</t>
  </si>
  <si>
    <t>Wohngebäude</t>
  </si>
  <si>
    <t>Wohngebäude mit einer oder zwei Nutzungseinheiten</t>
  </si>
  <si>
    <t>Wohngebäude mit drei bis neun Nutzungseinheiten</t>
  </si>
  <si>
    <t>Wohngebäude mit zehn und mehr Nutzungseinheiten</t>
  </si>
  <si>
    <t>Bildungseinrichtungen</t>
  </si>
  <si>
    <t>Heime</t>
  </si>
  <si>
    <t>Beherbergungsbetriebe</t>
  </si>
  <si>
    <t>Veranstaltungsstätten und Mehrzweckgebäude</t>
  </si>
  <si>
    <t>wwwb [Wh/m².d]</t>
  </si>
  <si>
    <t>Wärmeerzeuger</t>
  </si>
  <si>
    <t>Wärmepumpe</t>
  </si>
  <si>
    <t>Umformerstation</t>
  </si>
  <si>
    <t>Wärmeabgabe</t>
  </si>
  <si>
    <t>Öltank</t>
  </si>
  <si>
    <t>Luftein- und -auslässe (optional)</t>
  </si>
  <si>
    <t>Pufferspeicher</t>
  </si>
  <si>
    <t>Ölleitung im Gebäude</t>
  </si>
  <si>
    <t>Austragesystem</t>
  </si>
  <si>
    <t>Komponente</t>
  </si>
  <si>
    <t>Freie Eingabe</t>
  </si>
  <si>
    <t>System</t>
  </si>
  <si>
    <t>Sonstige Gebäude</t>
  </si>
  <si>
    <r>
      <t>d</t>
    </r>
    <r>
      <rPr>
        <vertAlign val="subscript"/>
        <sz val="11"/>
        <rFont val="Arial Narrow"/>
        <family val="2"/>
      </rPr>
      <t>h,a</t>
    </r>
    <r>
      <rPr>
        <sz val="11"/>
        <rFont val="Arial Narrow"/>
        <family val="2"/>
      </rPr>
      <t xml:space="preserve"> [d/a]</t>
    </r>
  </si>
  <si>
    <t>WWWB [kWh/m².a]</t>
  </si>
  <si>
    <t>Kategorie gem. ÖNORM B 8110-5:2019-03-15</t>
  </si>
  <si>
    <t>Bitte wählen…</t>
  </si>
  <si>
    <t>Öffentliche Nutzung</t>
  </si>
  <si>
    <t>Navigation</t>
  </si>
  <si>
    <t>BGF</t>
  </si>
  <si>
    <t>Mantelstein</t>
  </si>
  <si>
    <t>Anschluss</t>
  </si>
  <si>
    <t>Gasleitung im Gebäude</t>
  </si>
  <si>
    <t>Kollektor / Sonde inkl. Tiefbauarbeiten</t>
  </si>
  <si>
    <t>Behördenverfahren</t>
  </si>
  <si>
    <t>Grabungsarbeiten (optional)</t>
  </si>
  <si>
    <t>Rauchfang</t>
  </si>
  <si>
    <t>Grabungsarbeiten Tank</t>
  </si>
  <si>
    <t>Gasleitung Tank - Erzeuger</t>
  </si>
  <si>
    <t>Anschlussleitung Gebäude (optional)</t>
  </si>
  <si>
    <t>Mehrkosten Anschlussleistung (optional)</t>
  </si>
  <si>
    <t>Absicherung / Verkabelung</t>
  </si>
  <si>
    <t>Warmwasserbereitung</t>
  </si>
  <si>
    <t>Elektro-Boiler</t>
  </si>
  <si>
    <t>Gastank</t>
  </si>
  <si>
    <r>
      <t>N</t>
    </r>
    <r>
      <rPr>
        <vertAlign val="subscript"/>
        <sz val="11"/>
        <rFont val="Arial Narrow"/>
        <family val="2"/>
      </rPr>
      <t>verwendet</t>
    </r>
  </si>
  <si>
    <r>
      <t>N</t>
    </r>
    <r>
      <rPr>
        <vertAlign val="subscript"/>
        <sz val="11"/>
        <rFont val="Arial Narrow"/>
        <family val="2"/>
      </rPr>
      <t>Energie Tirol</t>
    </r>
  </si>
  <si>
    <r>
      <t>N</t>
    </r>
    <r>
      <rPr>
        <vertAlign val="subscript"/>
        <sz val="11"/>
        <rFont val="Arial Narrow"/>
        <family val="2"/>
      </rPr>
      <t>CostOpt</t>
    </r>
  </si>
  <si>
    <t>Nutzungsdauer</t>
  </si>
  <si>
    <t>Lastausgleichsspeicher (optional)</t>
  </si>
  <si>
    <t>Brutto-Grundfläche</t>
  </si>
  <si>
    <t>MENÜ</t>
  </si>
  <si>
    <t>Name</t>
  </si>
  <si>
    <t>Gebäudekategorie</t>
  </si>
  <si>
    <t>Quelle</t>
  </si>
  <si>
    <t>technisch</t>
  </si>
  <si>
    <t>rechtlich</t>
  </si>
  <si>
    <t>Systeme - Ausschlussgründe</t>
  </si>
  <si>
    <t xml:space="preserve">Die Verwendung einer </t>
  </si>
  <si>
    <t xml:space="preserve"> ist technisch und rechtlich möglich. Bitte mit der Wirtschaftlichkeitsberechnung fortfahren.</t>
  </si>
  <si>
    <r>
      <t xml:space="preserve">      Es liegen </t>
    </r>
    <r>
      <rPr>
        <b/>
        <sz val="9"/>
        <rFont val="Arial"/>
        <family val="2"/>
      </rPr>
      <t>rechtliche</t>
    </r>
    <r>
      <rPr>
        <sz val="9"/>
        <rFont val="Arial"/>
        <family val="2"/>
      </rPr>
      <t xml:space="preserve"> Gründe gegen die Verwendung einer Wärmepumpe Luft vor.</t>
    </r>
  </si>
  <si>
    <r>
      <t xml:space="preserve">      Es liegen </t>
    </r>
    <r>
      <rPr>
        <b/>
        <sz val="9"/>
        <rFont val="Arial"/>
        <family val="2"/>
      </rPr>
      <t>technische</t>
    </r>
    <r>
      <rPr>
        <sz val="9"/>
        <rFont val="Arial"/>
        <family val="2"/>
      </rPr>
      <t xml:space="preserve"> Gründe gegen die Verwendung einer Wärmepumpe Luft vor.</t>
    </r>
  </si>
  <si>
    <t>Menüpunkt</t>
  </si>
  <si>
    <r>
      <t>Diskontsatz R</t>
    </r>
    <r>
      <rPr>
        <vertAlign val="subscript"/>
        <sz val="11"/>
        <rFont val="Arial Narrow"/>
        <family val="2"/>
      </rPr>
      <t>d</t>
    </r>
    <r>
      <rPr>
        <sz val="11"/>
        <rFont val="Arial Narrow"/>
        <family val="2"/>
      </rPr>
      <t>(</t>
    </r>
    <r>
      <rPr>
        <sz val="11"/>
        <rFont val="Symbol"/>
        <family val="1"/>
        <charset val="2"/>
      </rPr>
      <t>t</t>
    </r>
    <r>
      <rPr>
        <sz val="11"/>
        <rFont val="Arial Narrow"/>
        <family val="2"/>
      </rPr>
      <t>)</t>
    </r>
  </si>
  <si>
    <t>Nutzungsdauer_MIN</t>
  </si>
  <si>
    <t>Nutzungsdauer_MAX</t>
  </si>
  <si>
    <t xml:space="preserve"> ist technisch und/oder rechtlich ausgeschlossen. Der Alternativenprüfung sind dementsprechende Nachweise beizulegen. Eine weitere Prüfung für dieses System entfällt.</t>
  </si>
  <si>
    <r>
      <t>N</t>
    </r>
    <r>
      <rPr>
        <vertAlign val="subscript"/>
        <sz val="11"/>
        <rFont val="Arial Narrow"/>
        <family val="2"/>
      </rPr>
      <t>VDI2067</t>
    </r>
  </si>
  <si>
    <t>Ansatz Realzinssatz</t>
  </si>
  <si>
    <t>Förderung Erneuerbare</t>
  </si>
  <si>
    <t>Betriebskosten</t>
  </si>
  <si>
    <t>Wartungskosten</t>
  </si>
  <si>
    <t>&lt; 3.000 m²</t>
  </si>
  <si>
    <t>&gt;= 3.000 m²</t>
  </si>
  <si>
    <t>CostOpt</t>
  </si>
  <si>
    <t>Energiepreis</t>
  </si>
  <si>
    <t>CostOpt | freie Eingabe</t>
  </si>
  <si>
    <t>Energiepreissteigerungen</t>
  </si>
  <si>
    <t>Energieverbrauch</t>
  </si>
  <si>
    <t>Energiegewinnung</t>
  </si>
  <si>
    <t>PV-Export</t>
  </si>
  <si>
    <t>e-control</t>
  </si>
  <si>
    <t>HWBSK</t>
  </si>
  <si>
    <t>EA</t>
  </si>
  <si>
    <t>EA | eigene Berechnung</t>
  </si>
  <si>
    <t>WWWB</t>
  </si>
  <si>
    <t>eAWZ,WW</t>
  </si>
  <si>
    <t>WBF | eigene Berechnung</t>
  </si>
  <si>
    <t>eigene Berechnung</t>
  </si>
  <si>
    <t>Bauliche Maßnahmen</t>
  </si>
  <si>
    <t>Anlagenteile</t>
  </si>
  <si>
    <t>Technik-/Lagerflächen</t>
  </si>
  <si>
    <t>ja | nein</t>
  </si>
  <si>
    <t>nein</t>
  </si>
  <si>
    <t>fix | optional</t>
  </si>
  <si>
    <t>WOHNGEBÄUDE</t>
  </si>
  <si>
    <t>NICHT-WOHNGEBÄUDE</t>
  </si>
  <si>
    <t>Energieaufwandszahl Warmwasser</t>
  </si>
  <si>
    <t>Energieaufwandszahl Raumheizung</t>
  </si>
  <si>
    <t>WW-WB-System (primär)</t>
  </si>
  <si>
    <t>RH-WB-System (primär)</t>
  </si>
  <si>
    <t>Photovoltaik-Export</t>
  </si>
  <si>
    <t>Heizwärmebedarf</t>
  </si>
  <si>
    <t>WW-WB-System</t>
  </si>
  <si>
    <t>RH-WB-System</t>
  </si>
  <si>
    <t>Nutzungsprofil</t>
  </si>
  <si>
    <t>PLZ/Ort</t>
  </si>
  <si>
    <t>Projekttitel</t>
  </si>
  <si>
    <t>BauwerberIn</t>
  </si>
  <si>
    <t>Thermische Solaranlage</t>
  </si>
  <si>
    <t>Photovoltaik-Anlage</t>
  </si>
  <si>
    <r>
      <t>e</t>
    </r>
    <r>
      <rPr>
        <vertAlign val="subscript"/>
        <sz val="9"/>
        <rFont val="Arial"/>
        <family val="2"/>
      </rPr>
      <t>AWZ,RH</t>
    </r>
  </si>
  <si>
    <r>
      <t>e</t>
    </r>
    <r>
      <rPr>
        <vertAlign val="subscript"/>
        <sz val="9"/>
        <rFont val="Arial"/>
        <family val="2"/>
      </rPr>
      <t>AWZ,WW</t>
    </r>
  </si>
  <si>
    <t>Flüssiggasanlage</t>
  </si>
  <si>
    <t>Stromdirektheizung</t>
  </si>
  <si>
    <t>Wärmepumpe (Sole)</t>
  </si>
  <si>
    <t>Wärmepumpe (Luft)</t>
  </si>
  <si>
    <t>Hackschnitzelheizung</t>
  </si>
  <si>
    <t>Stückholzheizung</t>
  </si>
  <si>
    <t>Pelletsanlage</t>
  </si>
  <si>
    <t>Elektro-Boiler / Durchlauferhitzer</t>
  </si>
  <si>
    <t>Wärmepumpe (Wasser)</t>
  </si>
  <si>
    <t>Registerblatt 0</t>
  </si>
  <si>
    <t>Inflation</t>
  </si>
  <si>
    <r>
      <t>Preisentwicklungsrate - Instandhaltung  R</t>
    </r>
    <r>
      <rPr>
        <vertAlign val="subscript"/>
        <sz val="11"/>
        <rFont val="Arial Narrow"/>
        <family val="2"/>
      </rPr>
      <t>m</t>
    </r>
  </si>
  <si>
    <t>Flüssiggas</t>
  </si>
  <si>
    <t>Hackschnitzel</t>
  </si>
  <si>
    <t>Stückholz</t>
  </si>
  <si>
    <r>
      <t>R</t>
    </r>
    <r>
      <rPr>
        <vertAlign val="subscript"/>
        <sz val="11"/>
        <rFont val="Arial Narrow"/>
        <family val="2"/>
      </rPr>
      <t>e,k</t>
    </r>
  </si>
  <si>
    <t>x</t>
  </si>
  <si>
    <t>Nah- /Fernwärme (ern.)</t>
  </si>
  <si>
    <t>Nah- /Fernwärme (n.ern.)</t>
  </si>
  <si>
    <t>Ausschlussgründe</t>
  </si>
  <si>
    <r>
      <t>R</t>
    </r>
    <r>
      <rPr>
        <b/>
        <vertAlign val="subscript"/>
        <sz val="9"/>
        <color theme="1"/>
        <rFont val="Arial Narrow"/>
        <family val="2"/>
      </rPr>
      <t>x</t>
    </r>
  </si>
  <si>
    <r>
      <rPr>
        <b/>
        <sz val="9"/>
        <color theme="1"/>
        <rFont val="Symbol"/>
        <family val="1"/>
        <charset val="2"/>
      </rPr>
      <t>b</t>
    </r>
    <r>
      <rPr>
        <b/>
        <vertAlign val="subscript"/>
        <sz val="9"/>
        <color theme="1"/>
        <rFont val="Arial Narrow"/>
        <family val="2"/>
      </rPr>
      <t>x</t>
    </r>
  </si>
  <si>
    <r>
      <t>f</t>
    </r>
    <r>
      <rPr>
        <b/>
        <vertAlign val="subscript"/>
        <sz val="9"/>
        <color theme="1"/>
        <rFont val="Arial Narrow"/>
        <family val="2"/>
      </rPr>
      <t>pv</t>
    </r>
  </si>
  <si>
    <t>Wartungskosten EFH</t>
  </si>
  <si>
    <t>Wartungskosten MFH</t>
  </si>
  <si>
    <t>Wartungskosten GWB</t>
  </si>
  <si>
    <r>
      <t>f</t>
    </r>
    <r>
      <rPr>
        <vertAlign val="subscript"/>
        <sz val="9"/>
        <rFont val="Arial"/>
        <family val="2"/>
      </rPr>
      <t>PE</t>
    </r>
    <r>
      <rPr>
        <sz val="9"/>
        <rFont val="Arial"/>
        <family val="2"/>
      </rPr>
      <t xml:space="preserve"> [-]</t>
    </r>
  </si>
  <si>
    <r>
      <t>f</t>
    </r>
    <r>
      <rPr>
        <vertAlign val="subscript"/>
        <sz val="9"/>
        <rFont val="Arial"/>
        <family val="2"/>
      </rPr>
      <t>CO2</t>
    </r>
    <r>
      <rPr>
        <sz val="9"/>
        <rFont val="Arial"/>
        <family val="2"/>
      </rPr>
      <t xml:space="preserve"> [g/kWh]</t>
    </r>
  </si>
  <si>
    <t>Preis [Ct/kWh]</t>
  </si>
  <si>
    <t>Nah- und Fernwärme (ern.)</t>
  </si>
  <si>
    <t>Nah- und Fernwärme (n.ern.)</t>
  </si>
  <si>
    <t>Strom (Netzeinspeisung)</t>
  </si>
  <si>
    <t>Preis [€/kWh]</t>
  </si>
  <si>
    <t>Quelle Nutzungsdauer</t>
  </si>
  <si>
    <t>Default*</t>
  </si>
  <si>
    <t>OIB-Richtlinie 6, Kostenoptimalität, Februar 2018, Tab. 36</t>
  </si>
  <si>
    <t>OIB-Richtlinie 6, April 2019, Pkt. 7</t>
  </si>
  <si>
    <t>OIB-Richtlinie 6, Kostenoptimalität, Februar 2018, Tab. 29</t>
  </si>
  <si>
    <t>OIB-Richtlinie</t>
  </si>
  <si>
    <t>OIB- Richtlinie 6, April 2019</t>
  </si>
  <si>
    <t>Abweichung?</t>
  </si>
  <si>
    <r>
      <t>Preisentwicklungsrate - Produkte R</t>
    </r>
    <r>
      <rPr>
        <vertAlign val="subscript"/>
        <sz val="11"/>
        <rFont val="Arial Narrow"/>
        <family val="2"/>
      </rPr>
      <t>P</t>
    </r>
  </si>
  <si>
    <r>
      <t xml:space="preserve">preisdynamischer Barwertfaktor </t>
    </r>
    <r>
      <rPr>
        <sz val="11"/>
        <rFont val="Symbol"/>
        <family val="1"/>
        <charset val="2"/>
      </rPr>
      <t>b</t>
    </r>
    <r>
      <rPr>
        <vertAlign val="subscript"/>
        <sz val="11"/>
        <rFont val="Arial Narrow"/>
        <family val="2"/>
      </rPr>
      <t>P</t>
    </r>
  </si>
  <si>
    <r>
      <t xml:space="preserve">preisdynamischer Barwertfaktor </t>
    </r>
    <r>
      <rPr>
        <sz val="11"/>
        <rFont val="Symbol"/>
        <family val="1"/>
        <charset val="2"/>
      </rPr>
      <t>b</t>
    </r>
    <r>
      <rPr>
        <vertAlign val="subscript"/>
        <sz val="11"/>
        <rFont val="Arial Narrow"/>
        <family val="2"/>
      </rPr>
      <t>m</t>
    </r>
  </si>
  <si>
    <r>
      <t>Barwertfaktor f</t>
    </r>
    <r>
      <rPr>
        <vertAlign val="subscript"/>
        <sz val="11"/>
        <rFont val="Arial Narrow"/>
        <family val="2"/>
      </rPr>
      <t>pv</t>
    </r>
  </si>
  <si>
    <t xml:space="preserve">An die Baubehörde der Gemeinde  </t>
  </si>
  <si>
    <t>Ort / Datum</t>
  </si>
  <si>
    <t>Antragsformular</t>
  </si>
  <si>
    <t>eAWZ,RH</t>
  </si>
  <si>
    <t>A</t>
  </si>
  <si>
    <t>Straße, Hausnummer</t>
  </si>
  <si>
    <t>Beträge</t>
  </si>
  <si>
    <t>brutto</t>
  </si>
  <si>
    <t>netto</t>
  </si>
  <si>
    <t>Kosten für CO2</t>
  </si>
  <si>
    <r>
      <t xml:space="preserve">Erklärung zum Einsatz hocheffizienter alternativer Energiesysteme
</t>
    </r>
    <r>
      <rPr>
        <sz val="9"/>
        <rFont val="Arial"/>
        <family val="2"/>
      </rPr>
      <t xml:space="preserve">Kreuzen Sie den zutreffenden Fall (Mehrfachnennung </t>
    </r>
    <r>
      <rPr>
        <u/>
        <sz val="9"/>
        <rFont val="Arial"/>
        <family val="2"/>
      </rPr>
      <t>nicht</t>
    </r>
    <r>
      <rPr>
        <sz val="9"/>
        <rFont val="Arial"/>
        <family val="2"/>
      </rPr>
      <t xml:space="preserve"> möglich) an.</t>
    </r>
  </si>
  <si>
    <t>2: Pelletsanlage</t>
  </si>
  <si>
    <t>3: Nah- /Fernwärme (ern.)</t>
  </si>
  <si>
    <t>4: Wärmepumpe (Luft)</t>
  </si>
  <si>
    <t>5: Wärmepumpe (Wasser)</t>
  </si>
  <si>
    <t>6: Wärmepumpe (Sole)</t>
  </si>
  <si>
    <r>
      <t>Barwert
Gesamtkosten</t>
    </r>
    <r>
      <rPr>
        <vertAlign val="superscript"/>
        <sz val="9"/>
        <color theme="1"/>
        <rFont val="Arial"/>
        <family val="2"/>
      </rPr>
      <t>2)</t>
    </r>
    <r>
      <rPr>
        <sz val="9"/>
        <color theme="1"/>
        <rFont val="Arial"/>
        <family val="2"/>
      </rPr>
      <t xml:space="preserve"> in [€]</t>
    </r>
  </si>
  <si>
    <t>Unterschrift BauwerberIn</t>
  </si>
  <si>
    <t>Kombination</t>
  </si>
  <si>
    <t>Bitte dieses Feld (roter Bereich = Pflichtfeld) ausfüllen!</t>
  </si>
  <si>
    <t>Fehlermeldungen</t>
  </si>
  <si>
    <t>Bitte eine Auswahl treffen!</t>
  </si>
  <si>
    <t>Jahresertrag Photovoltaik</t>
  </si>
  <si>
    <t>Basisangaben</t>
  </si>
  <si>
    <t>Grenze Brutto-Grundfläche</t>
  </si>
  <si>
    <t>Gewinne aus Photovoltaik</t>
  </si>
  <si>
    <t>Optional?</t>
  </si>
  <si>
    <t>Wärmepumpe (Grundwasser)</t>
  </si>
  <si>
    <t>Nah- /Fernwärme (nicht erneuerbar)</t>
  </si>
  <si>
    <t>Aufstellungsbereich</t>
  </si>
  <si>
    <t>Aufstellungsbereich Lager</t>
  </si>
  <si>
    <t>Aufstellungsbereich (optional)</t>
  </si>
  <si>
    <t>Lagerflächen berücksichtigt</t>
  </si>
  <si>
    <t>Spenglerarbeiten Rauchfang</t>
  </si>
  <si>
    <t>Warmwasser</t>
  </si>
  <si>
    <t>Sie haben noch keine Auswahl getroffen - eine Einschätzung, ob eine Berechnung erforderlich ist, ist nicht möglich. Bitte Auswahl treffen!</t>
  </si>
  <si>
    <t>1) Nachweis ist beizulegen    2) Wohngebäude Beträge inklusive Steuern, Nicht-Wohngebäude exklusive Steuern</t>
  </si>
  <si>
    <r>
      <t>Der Einsatz ist ausgeschlossen</t>
    </r>
    <r>
      <rPr>
        <vertAlign val="superscript"/>
        <sz val="9"/>
        <color theme="1"/>
        <rFont val="Arial"/>
        <family val="2"/>
      </rPr>
      <t>1)</t>
    </r>
  </si>
  <si>
    <t>Günstigstes</t>
  </si>
  <si>
    <r>
      <rPr>
        <b/>
        <sz val="9"/>
        <color theme="1"/>
        <rFont val="Arial"/>
        <family val="2"/>
      </rPr>
      <t>günstigstes</t>
    </r>
    <r>
      <rPr>
        <sz val="9"/>
        <color theme="1"/>
        <rFont val="Arial"/>
        <family val="2"/>
      </rPr>
      <t xml:space="preserve">
System</t>
    </r>
  </si>
  <si>
    <t>Bitte dieses Feld (roter Bereich) entfernen - eine Eingabe ist nicht zulässig!</t>
  </si>
  <si>
    <t>Warmwasser-Wärmebereitung</t>
  </si>
  <si>
    <t>Raumheizung-Wärmebereitung</t>
  </si>
  <si>
    <t>Ein hocheffizientes alternatives System gemäß § 2 Abs. 28 TBO 2018 kommt zum Einsatz</t>
  </si>
  <si>
    <r>
      <t xml:space="preserve">Wärmebedarf RH+WW </t>
    </r>
    <r>
      <rPr>
        <sz val="9"/>
        <color theme="1"/>
        <rFont val="Calibri"/>
        <family val="2"/>
      </rPr>
      <t>≥</t>
    </r>
    <r>
      <rPr>
        <sz val="9"/>
        <color theme="1"/>
        <rFont val="Arial"/>
        <family val="2"/>
      </rPr>
      <t xml:space="preserve"> 80 % durch hocheffiziente alternative Systeme gemäß § 2 Abs. 28 TBO 2018</t>
    </r>
  </si>
  <si>
    <t>Wirtschaftlichkeitsberechnung gem. Delegierte Verordnung (EU) Nr. 244/2012 ist beizulegen!</t>
  </si>
  <si>
    <t>Einhaltung der Anforderung an den reduzierten Primärenergiebedarf nicht erneuerbar gemäß § 35 Abs. 3 TBV 2016</t>
  </si>
  <si>
    <t>Keines der oben genannten ist zutreffend: technische, ökologische, wirtschaftliche und rechtliche Prüfung</t>
  </si>
  <si>
    <t>Ist eines der hocheffizienten alternativen Heizsysteme wirtschaftlicher als das gewählte nicht hocheffiziente alternative Heizsystem, so ist verpflichtend ein hocheffizientes alternatives Heizsystem einzusetzen.</t>
  </si>
  <si>
    <r>
      <t>Q</t>
    </r>
    <r>
      <rPr>
        <vertAlign val="subscript"/>
        <sz val="9"/>
        <color theme="1"/>
        <rFont val="Arial"/>
        <family val="2"/>
      </rPr>
      <t>h,SK</t>
    </r>
  </si>
  <si>
    <r>
      <t>e</t>
    </r>
    <r>
      <rPr>
        <vertAlign val="subscript"/>
        <sz val="9"/>
        <color theme="1"/>
        <rFont val="Arial"/>
        <family val="2"/>
      </rPr>
      <t>AWZ,WW,SK</t>
    </r>
  </si>
  <si>
    <r>
      <t>e</t>
    </r>
    <r>
      <rPr>
        <vertAlign val="subscript"/>
        <sz val="9"/>
        <color theme="1"/>
        <rFont val="Arial"/>
        <family val="2"/>
      </rPr>
      <t>AWZ,RH,SK</t>
    </r>
  </si>
  <si>
    <t>DATEN AUS ANHANG FÜR TIROL</t>
  </si>
  <si>
    <r>
      <t xml:space="preserve">Mit dem vorliegenden Excel-Tool können Sie die Prüfung hocheffizienter alternativer Heizsysteme gem. § 35a Abs. 1 TBV 2016 darstellen. Dieser Dokumentation sind ggf. Einzelnachweise und Berechnungen beizulegen.
Rechtliche Grundlage vgl. OIB-Richtlinie 6, Erläuternde Bemerkungen:
</t>
    </r>
    <r>
      <rPr>
        <i/>
        <sz val="9"/>
        <color theme="1"/>
        <rFont val="Arial"/>
        <family val="2"/>
      </rPr>
      <t xml:space="preserve">"Im Falle wirtschaftlicher Gründe ist ein </t>
    </r>
    <r>
      <rPr>
        <b/>
        <i/>
        <sz val="9"/>
        <color theme="1"/>
        <rFont val="Arial"/>
        <family val="2"/>
      </rPr>
      <t>Gesamtkostenvergleich nach der Kapitalwertmethode</t>
    </r>
    <r>
      <rPr>
        <i/>
        <sz val="9"/>
        <color theme="1"/>
        <rFont val="Arial"/>
        <family val="2"/>
      </rPr>
      <t xml:space="preserve"> unter Berücksichtigung der Richtlinie 2010/31/EU in Verbindung mit der Delegierten Verordnung (EU) Nr. 244/2012 der Kommission vom 16. Januar 2012 zur Ergänzung der Richtlinie 2010/31/EU des Europäischen Parlaments und des Rates über die Gesamtenergieeffizienz von Gebäuden durch die Schaffung eines Rahmens für eine Vergleichsmethode zur Berechnung kostenoptimaler Niveaus von Mindestanforderungen an die Gesamtenergieeffizienz von Gebäuden und Gebäudekomponenten zu ermitteln. </t>
    </r>
    <r>
      <rPr>
        <b/>
        <i/>
        <sz val="9"/>
        <color theme="1"/>
        <rFont val="Arial"/>
        <family val="2"/>
      </rPr>
      <t>Die Randbedingungen für die Energiekosten, die anzusetzenden Energiepreissteigerungen, den Diskontsatz und die Nutzungsdauern sind dem OIB-Dokument zum Nachweis der Kostenoptimalität zu entnehmen.</t>
    </r>
    <r>
      <rPr>
        <i/>
        <sz val="9"/>
        <color theme="1"/>
        <rFont val="Arial"/>
        <family val="2"/>
      </rPr>
      <t>"</t>
    </r>
  </si>
  <si>
    <r>
      <t>Heizwärmebedarf (Q</t>
    </r>
    <r>
      <rPr>
        <vertAlign val="subscript"/>
        <sz val="9"/>
        <rFont val="Arial"/>
        <family val="2"/>
      </rPr>
      <t>h,SK</t>
    </r>
    <r>
      <rPr>
        <sz val="9"/>
        <rFont val="Arial"/>
        <family val="2"/>
      </rPr>
      <t>) in [kWh/a]</t>
    </r>
  </si>
  <si>
    <r>
      <t>Warmwasserwärmebedarf (Q</t>
    </r>
    <r>
      <rPr>
        <vertAlign val="subscript"/>
        <sz val="9"/>
        <rFont val="Arial"/>
        <family val="2"/>
      </rPr>
      <t>tw</t>
    </r>
    <r>
      <rPr>
        <sz val="9"/>
        <rFont val="Arial"/>
        <family val="2"/>
      </rPr>
      <t>) in [kWh/a]</t>
    </r>
  </si>
  <si>
    <t>EFH</t>
  </si>
  <si>
    <t>EFHklein</t>
  </si>
  <si>
    <t>MFH 500</t>
  </si>
  <si>
    <t>MFH 1000</t>
  </si>
  <si>
    <t>MFH 3000</t>
  </si>
  <si>
    <t>k2016</t>
  </si>
  <si>
    <t>p</t>
  </si>
  <si>
    <t>K0</t>
  </si>
  <si>
    <t>qn=</t>
  </si>
  <si>
    <t>n</t>
  </si>
  <si>
    <t>REGISTER A</t>
  </si>
  <si>
    <t>REGISTER 0</t>
  </si>
  <si>
    <t>vorhanden</t>
  </si>
  <si>
    <t>nicht vorhanden</t>
  </si>
  <si>
    <t>Anmerkungen Alternativenprüfung</t>
  </si>
  <si>
    <t>Auswahl: Thermische Solaranlage</t>
  </si>
  <si>
    <t>Auswahl: WW-WB-System</t>
  </si>
  <si>
    <t>Auswahl: RH-WB-System</t>
  </si>
  <si>
    <t>Auswahl: Nachweis</t>
  </si>
  <si>
    <r>
      <t>PVE</t>
    </r>
    <r>
      <rPr>
        <vertAlign val="subscript"/>
        <sz val="9"/>
        <color theme="1"/>
        <rFont val="Arial"/>
        <family val="2"/>
      </rPr>
      <t>Brutto,a</t>
    </r>
  </si>
  <si>
    <t>REGISTER 1-6</t>
  </si>
  <si>
    <t>ALLGEMEIN</t>
  </si>
  <si>
    <t>REGISTER 7</t>
  </si>
  <si>
    <t>Sie haben für die Raumheizung ein hocheffizientes alternatives System gewählt, Ihrer Auswahl entsprechend ist dennoch eine Berechnung erforderlich. Dieser Fall ist mit diesem Tool nicht berechenbar, bitte wenden Sie sich an Energie Tirol (0512-589913 | office@energie-tirol.at)</t>
  </si>
  <si>
    <t>Der Jahresertrag ist kleiner als der Export - das ist nicht möglich. Bitte überprüfen Sie die Werte.</t>
  </si>
  <si>
    <r>
      <t xml:space="preserve">In den folgenden Registerblättern 1 bis 6 prüfen Sie die möglichen Heizsysteme und geben jeweils konkrete, plausible Kosten an. Dabei sind in Abhängigkeit der Nutzung und Größe des Objektes abweichende Angaben zu machen - bitte lesen Sie dazu </t>
    </r>
    <r>
      <rPr>
        <b/>
        <sz val="9"/>
        <rFont val="Arial"/>
        <family val="2"/>
      </rPr>
      <t>sorgfältig die "Eingabehilfe zur Alternativenprüfung"</t>
    </r>
    <r>
      <rPr>
        <sz val="9"/>
        <rFont val="Arial"/>
        <family val="2"/>
      </rPr>
      <t xml:space="preserve"> durch. Beachten Sie auch, dass Sie diese </t>
    </r>
    <r>
      <rPr>
        <b/>
        <sz val="9"/>
        <rFont val="Arial"/>
        <family val="2"/>
      </rPr>
      <t>Excel-Datei in der aktuellen Version</t>
    </r>
    <r>
      <rPr>
        <sz val="9"/>
        <rFont val="Arial"/>
        <family val="2"/>
      </rPr>
      <t xml:space="preserve"> von der Homepage von Energie Tirol (www.energie-tirol.at/alternativenpruefung) verwenden.</t>
    </r>
  </si>
  <si>
    <t>Allgemeiner Steuersatz</t>
  </si>
  <si>
    <t>Steuersatz [%]</t>
  </si>
  <si>
    <t>e-control | eigene Angabe</t>
  </si>
  <si>
    <t>Optionen wurden nicht implementiert</t>
  </si>
  <si>
    <t xml:space="preserve">Der Barwert </t>
  </si>
  <si>
    <t>Legende</t>
  </si>
  <si>
    <t>direkte Eingabe</t>
  </si>
  <si>
    <t>Berechnung mit Formel</t>
  </si>
  <si>
    <t>Verknüpft mit Auswahlobbjekt (Dropdown, Checkbox)</t>
  </si>
  <si>
    <t>Eine Berechnung im Excel-Tool ist nicht möglich, da die Eingabe unvollständig ist. Bitte prüfen und ergänzen Sie die fehlenden Bereiche - erkennbar an der mit weißem Kreuz auf rotem Grund markiereten Bereiche in der Navigation.</t>
  </si>
  <si>
    <t>Kosten für Diagramm</t>
  </si>
  <si>
    <t>Kosten CO2 [€/t]</t>
  </si>
  <si>
    <t>Barwert Gesamtkosten [€]</t>
  </si>
  <si>
    <t>Bitte dieses Registerblatt vervollständigen.</t>
  </si>
  <si>
    <t>Energieberechnung modifiziert</t>
  </si>
  <si>
    <t>Energiepreise modifiziert</t>
  </si>
  <si>
    <t>Betriebskosten modifiziert</t>
  </si>
  <si>
    <t>Energieaufwandszahlen modifiziert</t>
  </si>
  <si>
    <t>Ablaufdatum</t>
  </si>
  <si>
    <t>Die folgende Zusammenstellung vergleicht alle technisch und rechtlich möglichen Systeme. Dabei ist das</t>
  </si>
  <si>
    <t xml:space="preserve">wirtschaftlichste System mit den gesetzten Rahmenbedingungen: </t>
  </si>
  <si>
    <t>7 Rahmenbedingungen</t>
  </si>
  <si>
    <t>Die Alternativenprüfung zeigt zumindest ein alternatives, hocheffizientes System als besser geeignet. Gem gemäß § 35a Abs. 1 TBV 2016 sind Sie daher verpflichtet, ein hocheffizientes, alternatives Heizsystem an Stelle des geplanten nicht erneuerbaren Systems zu installieren.</t>
  </si>
  <si>
    <t>HWB modifiziert</t>
  </si>
  <si>
    <t>WWWB modifiziert</t>
  </si>
  <si>
    <t>HWB_mod</t>
  </si>
  <si>
    <t>WWWB_mod</t>
  </si>
  <si>
    <t>RH</t>
  </si>
  <si>
    <t>WW</t>
  </si>
  <si>
    <r>
      <t>PVE</t>
    </r>
    <r>
      <rPr>
        <vertAlign val="subscript"/>
        <sz val="9"/>
        <color theme="1"/>
        <rFont val="Arial"/>
        <family val="2"/>
      </rPr>
      <t>Export,a</t>
    </r>
  </si>
  <si>
    <t>Ansatz hocheffiziente alternative Systeme</t>
  </si>
  <si>
    <t>Betrachtungszeitraum T</t>
  </si>
  <si>
    <t>T</t>
  </si>
  <si>
    <r>
      <t>R</t>
    </r>
    <r>
      <rPr>
        <vertAlign val="subscript"/>
        <sz val="9"/>
        <color theme="1"/>
        <rFont val="Arial"/>
        <family val="2"/>
      </rPr>
      <t>R</t>
    </r>
  </si>
  <si>
    <r>
      <t>R</t>
    </r>
    <r>
      <rPr>
        <vertAlign val="subscript"/>
        <sz val="9"/>
        <color theme="1"/>
        <rFont val="Arial"/>
        <family val="2"/>
      </rPr>
      <t>p</t>
    </r>
  </si>
  <si>
    <r>
      <t>R</t>
    </r>
    <r>
      <rPr>
        <vertAlign val="subscript"/>
        <sz val="9"/>
        <color theme="1"/>
        <rFont val="Arial"/>
        <family val="2"/>
      </rPr>
      <t>m</t>
    </r>
  </si>
  <si>
    <r>
      <t>R</t>
    </r>
    <r>
      <rPr>
        <vertAlign val="subscript"/>
        <sz val="9"/>
        <color theme="1"/>
        <rFont val="Arial"/>
        <family val="2"/>
      </rPr>
      <t>i</t>
    </r>
  </si>
  <si>
    <t>R</t>
  </si>
  <si>
    <t>Preisentwicklungsrate - Instandhaltung</t>
  </si>
  <si>
    <t>Preisentwicklungsrate - Produkte</t>
  </si>
  <si>
    <t>Realzinssatz (Diskontsatz lt. CostOpt 2019)</t>
  </si>
  <si>
    <t>CostOpt 2019 (vereinfacht)</t>
  </si>
  <si>
    <t>OIB CostOpt 2019 (vereinfacht)</t>
  </si>
  <si>
    <t>trigger:</t>
  </si>
  <si>
    <t>WW-Bereitung dezentral?</t>
  </si>
  <si>
    <r>
      <t xml:space="preserve">      Es liegen </t>
    </r>
    <r>
      <rPr>
        <b/>
        <sz val="9"/>
        <rFont val="Arial"/>
        <family val="2"/>
      </rPr>
      <t>rechtliche</t>
    </r>
    <r>
      <rPr>
        <sz val="9"/>
        <rFont val="Arial"/>
        <family val="2"/>
      </rPr>
      <t xml:space="preserve"> Gründe gegen die Verwendung einer Pelletsanlage vor.</t>
    </r>
  </si>
  <si>
    <r>
      <t xml:space="preserve">      Es liegen </t>
    </r>
    <r>
      <rPr>
        <b/>
        <sz val="9"/>
        <rFont val="Arial"/>
        <family val="2"/>
      </rPr>
      <t>technische</t>
    </r>
    <r>
      <rPr>
        <sz val="9"/>
        <rFont val="Arial"/>
        <family val="2"/>
      </rPr>
      <t xml:space="preserve"> Gründe gegen die Verwendung einer Pelletsanlage vor.</t>
    </r>
  </si>
  <si>
    <r>
      <t xml:space="preserve">      Es liegen </t>
    </r>
    <r>
      <rPr>
        <b/>
        <sz val="9"/>
        <rFont val="Arial"/>
        <family val="2"/>
      </rPr>
      <t>rechtliche</t>
    </r>
    <r>
      <rPr>
        <sz val="9"/>
        <rFont val="Arial"/>
        <family val="2"/>
      </rPr>
      <t xml:space="preserve"> Gründe gegen den Anschluss an ein Nah- bzw. Fernwärmenetz (erneuerbar) vor.</t>
    </r>
  </si>
  <si>
    <r>
      <t xml:space="preserve">      Es liegen </t>
    </r>
    <r>
      <rPr>
        <b/>
        <sz val="9"/>
        <rFont val="Arial"/>
        <family val="2"/>
      </rPr>
      <t>technische</t>
    </r>
    <r>
      <rPr>
        <sz val="9"/>
        <rFont val="Arial"/>
        <family val="2"/>
      </rPr>
      <t xml:space="preserve"> Gründe gegen den Anschluss an ein Nah- bzw. Fernwärmenetz (erneuerbar)  vor.</t>
    </r>
  </si>
  <si>
    <r>
      <t xml:space="preserve">      Es liegen </t>
    </r>
    <r>
      <rPr>
        <b/>
        <sz val="9"/>
        <rFont val="Arial"/>
        <family val="2"/>
      </rPr>
      <t>rechtliche</t>
    </r>
    <r>
      <rPr>
        <sz val="9"/>
        <rFont val="Arial"/>
        <family val="2"/>
      </rPr>
      <t xml:space="preserve"> Gründe gegen die Verwendung einer Wärmepumpe (Luft) vor.</t>
    </r>
  </si>
  <si>
    <r>
      <t xml:space="preserve">      Es liegen </t>
    </r>
    <r>
      <rPr>
        <b/>
        <sz val="9"/>
        <rFont val="Arial"/>
        <family val="2"/>
      </rPr>
      <t>technische</t>
    </r>
    <r>
      <rPr>
        <sz val="9"/>
        <rFont val="Arial"/>
        <family val="2"/>
      </rPr>
      <t xml:space="preserve"> Gründe gegen die Verwendung einer Wärmepumpe (Luft) vor.</t>
    </r>
  </si>
  <si>
    <r>
      <t xml:space="preserve">      Es liegen </t>
    </r>
    <r>
      <rPr>
        <b/>
        <sz val="9"/>
        <rFont val="Arial"/>
        <family val="2"/>
      </rPr>
      <t>rechtliche</t>
    </r>
    <r>
      <rPr>
        <sz val="9"/>
        <rFont val="Arial"/>
        <family val="2"/>
      </rPr>
      <t xml:space="preserve"> Gründe gegen die Verwendung einer Wärmepumpe (Wasser) vor.</t>
    </r>
  </si>
  <si>
    <r>
      <t xml:space="preserve">      Es liegen </t>
    </r>
    <r>
      <rPr>
        <b/>
        <sz val="9"/>
        <rFont val="Arial"/>
        <family val="2"/>
      </rPr>
      <t>technische</t>
    </r>
    <r>
      <rPr>
        <sz val="9"/>
        <rFont val="Arial"/>
        <family val="2"/>
      </rPr>
      <t xml:space="preserve"> Gründe gegen die Verwendung einer Wärmepumpe (Wasser) vor.</t>
    </r>
  </si>
  <si>
    <r>
      <t xml:space="preserve">      Es liegen </t>
    </r>
    <r>
      <rPr>
        <b/>
        <sz val="9"/>
        <rFont val="Arial"/>
        <family val="2"/>
      </rPr>
      <t>rechtliche</t>
    </r>
    <r>
      <rPr>
        <sz val="9"/>
        <rFont val="Arial"/>
        <family val="2"/>
      </rPr>
      <t xml:space="preserve"> Gründe gegen die Verwendung einer Wärmepumpe (Sole) vor.</t>
    </r>
  </si>
  <si>
    <r>
      <t xml:space="preserve">      Es liegen </t>
    </r>
    <r>
      <rPr>
        <b/>
        <sz val="9"/>
        <rFont val="Arial"/>
        <family val="2"/>
      </rPr>
      <t>technische</t>
    </r>
    <r>
      <rPr>
        <sz val="9"/>
        <rFont val="Arial"/>
        <family val="2"/>
      </rPr>
      <t xml:space="preserve"> Gründe gegen die Verwendung einer Wärmepumpe (Sole) vor.</t>
    </r>
  </si>
  <si>
    <t>Aufstellungsbereich Lager (optional)</t>
  </si>
  <si>
    <t>Default_angepasst</t>
  </si>
  <si>
    <t>Spaltensuche</t>
  </si>
  <si>
    <t>eAWZ</t>
  </si>
  <si>
    <t>Korrekturfaktor</t>
  </si>
  <si>
    <r>
      <t>Preissteige-
rung R</t>
    </r>
    <r>
      <rPr>
        <vertAlign val="subscript"/>
        <sz val="9"/>
        <rFont val="Arial"/>
        <family val="2"/>
      </rPr>
      <t>e,k</t>
    </r>
    <r>
      <rPr>
        <sz val="9"/>
        <rFont val="Arial"/>
        <family val="2"/>
      </rPr>
      <t>³ [%]</t>
    </r>
  </si>
  <si>
    <r>
      <t xml:space="preserve">³ Angaben laut </t>
    </r>
    <r>
      <rPr>
        <i/>
        <sz val="7"/>
        <rFont val="Arial"/>
        <family val="2"/>
      </rPr>
      <t>OIB-Richtlinie 6, Kostenoptimalität, Februar 2018, Tab. 36</t>
    </r>
  </si>
  <si>
    <t>Default [€/a]</t>
  </si>
  <si>
    <t>Bereich hat Variable</t>
  </si>
  <si>
    <t>² Angaben laut Energieausweis im Punkt 0</t>
  </si>
  <si>
    <t>OPT</t>
  </si>
  <si>
    <t>OPT+Sol</t>
  </si>
  <si>
    <t>Kosten für Solaranlage (thermisch/PV) komplett</t>
  </si>
  <si>
    <t>Faktor TSA</t>
  </si>
  <si>
    <t>Die Alternativenprüfung weist das gewählte nicht hocheffiziente alternative System als das am besten geeignete System aus. Die Alternativenprüfung ist damit abgeschlossen.</t>
  </si>
  <si>
    <r>
      <t xml:space="preserve">Alternativenprüfung
</t>
    </r>
    <r>
      <rPr>
        <sz val="9"/>
        <rFont val="Arial"/>
        <family val="2"/>
      </rPr>
      <t>gemäß § 35a Abs. 1 TBV 2016</t>
    </r>
  </si>
  <si>
    <t>Das fossile System ist Bestandteil der Einreichung.</t>
  </si>
  <si>
    <t>Da entsprechend Ihrer Auswahl keine Berechnung erforderlich ist, benötigen Sie dieses Excel-Tool für die Einreichung nicht, eine vollständig ausgefüllte Anlage 6b gem. TBV 2016 ist ausreichend.</t>
  </si>
  <si>
    <t>Gas-System</t>
  </si>
  <si>
    <t>Öl-System</t>
  </si>
  <si>
    <t>Erhöhung Betriebkosten (brutto): TSA</t>
  </si>
  <si>
    <t>Erhöhung Betriebkosten (brutto): PV</t>
  </si>
  <si>
    <t>CostOpt MGWB | eigene Berechnung</t>
  </si>
  <si>
    <t>Wärmeversorgung</t>
  </si>
  <si>
    <t>RH-Bestand</t>
  </si>
  <si>
    <t>Neuanlage: Bestand wird getauscht</t>
  </si>
  <si>
    <t>Auswahl: Bestandsheizung RH</t>
  </si>
  <si>
    <t>Die Raumheizung-Anlage ist eine…</t>
  </si>
  <si>
    <t>Bestandsanlage und wird nicht getauscht</t>
  </si>
  <si>
    <t>Neuanlage</t>
  </si>
  <si>
    <t>OBJEKTDATEN</t>
  </si>
  <si>
    <t>Bauvorhaben</t>
  </si>
  <si>
    <t>Auswahl: Bauvorhaben</t>
  </si>
  <si>
    <t>Investition</t>
  </si>
  <si>
    <t>Fall</t>
  </si>
  <si>
    <t>Brunnenbau</t>
  </si>
  <si>
    <t>Summe</t>
  </si>
  <si>
    <r>
      <t>A'</t>
    </r>
    <r>
      <rPr>
        <b/>
        <vertAlign val="subscript"/>
        <sz val="9"/>
        <color theme="1"/>
        <rFont val="Arial Narrow"/>
        <family val="2"/>
      </rPr>
      <t>0</t>
    </r>
  </si>
  <si>
    <r>
      <t>A''</t>
    </r>
    <r>
      <rPr>
        <b/>
        <vertAlign val="subscript"/>
        <sz val="9"/>
        <color theme="1"/>
        <rFont val="Arial Narrow"/>
        <family val="2"/>
      </rPr>
      <t>0</t>
    </r>
  </si>
  <si>
    <t>Anzahl</t>
  </si>
  <si>
    <t>Faktor</t>
  </si>
  <si>
    <t>Betrachtungsjahr aktuell</t>
  </si>
  <si>
    <t>Variante Bestandsanlage</t>
  </si>
  <si>
    <t>wie alt</t>
  </si>
  <si>
    <t>v.1.39 vom 21.07.2020</t>
  </si>
  <si>
    <t>Itter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</si>
</sst>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_);[Red]\(&quot;€&quot;#,##0.00\)"/>
    <numFmt numFmtId="165" formatCode="0.0000"/>
    <numFmt numFmtId="166" formatCode="0.0%"/>
    <numFmt numFmtId="167" formatCode="0.000"/>
    <numFmt numFmtId="168" formatCode="0.0"/>
    <numFmt numFmtId="169" formatCode="General\ \ "/>
    <numFmt numFmtId="170" formatCode="#,##0\ \ "/>
    <numFmt numFmtId="171" formatCode="\ #,##0.00\ \ "/>
    <numFmt numFmtId="172" formatCode="#,##0.00\ \ "/>
    <numFmt numFmtId="173" formatCode="&quot;€&quot;\ #,##0.00"/>
    <numFmt numFmtId="174" formatCode="&quot;€&quot;\ #,##0.0;\-&quot;€&quot;\ #,##0.0"/>
    <numFmt numFmtId="175" formatCode="#,##0.00\ &quot;t&quot;"/>
    <numFmt numFmtId="176" formatCode="#,##0\ &quot;kWh/a&quot;"/>
    <numFmt numFmtId="177" formatCode="0.00000"/>
    <numFmt numFmtId="178" formatCode="#,##0.000"/>
    <numFmt numFmtId="179" formatCode="#,##0.0\ &quot;t&quot;"/>
    <numFmt numFmtId="180" formatCode="#,##0.0\ &quot;m²&quot;"/>
  </numFmts>
  <fonts count="69" x14ac:knownFonts="1">
    <font>
      <sz val="11"/>
      <color theme="1"/>
      <name val="Calibri"/>
      <family val="2"/>
      <scheme val="minor"/>
    </font>
    <font>
      <sz val="11"/>
      <color theme="1"/>
      <name val="Calibri"/>
      <family val="2"/>
      <scheme val="minor"/>
    </font>
    <font>
      <sz val="11"/>
      <color theme="1"/>
      <name val="Arial Narrow"/>
      <family val="2"/>
    </font>
    <font>
      <sz val="11"/>
      <name val="Arial Narrow"/>
      <family val="2"/>
    </font>
    <font>
      <vertAlign val="subscript"/>
      <sz val="11"/>
      <name val="Arial Narrow"/>
      <family val="2"/>
    </font>
    <font>
      <b/>
      <sz val="11"/>
      <name val="Arial Narrow"/>
      <family val="2"/>
    </font>
    <font>
      <b/>
      <sz val="11"/>
      <color theme="1"/>
      <name val="Arial Narrow"/>
      <family val="2"/>
    </font>
    <font>
      <sz val="11"/>
      <name val="Symbol"/>
      <family val="1"/>
      <charset val="2"/>
    </font>
    <font>
      <sz val="8"/>
      <color rgb="FF000000"/>
      <name val="Segoe UI"/>
      <family val="2"/>
    </font>
    <font>
      <sz val="11"/>
      <color rgb="FFC00000"/>
      <name val="Arial Narrow"/>
      <family val="2"/>
    </font>
    <font>
      <sz val="11"/>
      <color theme="1"/>
      <name val="Arial"/>
      <family val="2"/>
    </font>
    <font>
      <sz val="11"/>
      <name val="Arial"/>
      <family val="2"/>
    </font>
    <font>
      <b/>
      <sz val="12"/>
      <color theme="5"/>
      <name val="Arial"/>
      <family val="2"/>
    </font>
    <font>
      <sz val="11"/>
      <color rgb="FFC00000"/>
      <name val="Arial"/>
      <family val="2"/>
    </font>
    <font>
      <b/>
      <sz val="11"/>
      <color theme="0"/>
      <name val="Arial"/>
      <family val="2"/>
    </font>
    <font>
      <sz val="11"/>
      <color theme="9"/>
      <name val="Arial"/>
      <family val="2"/>
    </font>
    <font>
      <sz val="9"/>
      <color theme="1"/>
      <name val="Arial"/>
      <family val="2"/>
    </font>
    <font>
      <b/>
      <sz val="11"/>
      <name val="Arial"/>
      <family val="2"/>
    </font>
    <font>
      <sz val="9"/>
      <name val="Arial"/>
      <family val="2"/>
    </font>
    <font>
      <b/>
      <sz val="9"/>
      <color theme="5"/>
      <name val="Arial"/>
      <family val="2"/>
    </font>
    <font>
      <b/>
      <sz val="9"/>
      <color theme="0"/>
      <name val="Arial"/>
      <family val="2"/>
    </font>
    <font>
      <b/>
      <sz val="9"/>
      <name val="Arial"/>
      <family val="2"/>
    </font>
    <font>
      <sz val="8"/>
      <color theme="1"/>
      <name val="Arial"/>
      <family val="2"/>
    </font>
    <font>
      <b/>
      <sz val="11"/>
      <color theme="1"/>
      <name val="Arial"/>
      <family val="2"/>
    </font>
    <font>
      <b/>
      <sz val="16"/>
      <name val="Arial"/>
      <family val="2"/>
    </font>
    <font>
      <sz val="9"/>
      <color theme="0"/>
      <name val="Arial"/>
      <family val="2"/>
    </font>
    <font>
      <sz val="11"/>
      <color theme="5"/>
      <name val="Arial"/>
      <family val="2"/>
    </font>
    <font>
      <vertAlign val="subscript"/>
      <sz val="9"/>
      <name val="Arial"/>
      <family val="2"/>
    </font>
    <font>
      <sz val="7"/>
      <color theme="1"/>
      <name val="Arial"/>
      <family val="2"/>
    </font>
    <font>
      <sz val="7"/>
      <name val="Arial"/>
      <family val="2"/>
    </font>
    <font>
      <sz val="11"/>
      <color rgb="FFFF0000"/>
      <name val="Calibri"/>
      <family val="2"/>
      <scheme val="minor"/>
    </font>
    <font>
      <sz val="9"/>
      <color theme="1"/>
      <name val="Arial Narrow"/>
      <family val="2"/>
    </font>
    <font>
      <b/>
      <sz val="9"/>
      <color theme="1"/>
      <name val="Arial Narrow"/>
      <family val="2"/>
    </font>
    <font>
      <b/>
      <sz val="9"/>
      <color theme="1"/>
      <name val="Arial"/>
      <family val="2"/>
    </font>
    <font>
      <sz val="9"/>
      <color rgb="FFC00000"/>
      <name val="Arial"/>
      <family val="2"/>
    </font>
    <font>
      <sz val="9"/>
      <color theme="9"/>
      <name val="Arial"/>
      <family val="2"/>
    </font>
    <font>
      <sz val="12"/>
      <color theme="5"/>
      <name val="Arial"/>
      <family val="2"/>
    </font>
    <font>
      <b/>
      <sz val="11"/>
      <color theme="1"/>
      <name val="Calibri"/>
      <family val="2"/>
      <scheme val="minor"/>
    </font>
    <font>
      <b/>
      <sz val="18"/>
      <name val="Arial"/>
      <family val="2"/>
    </font>
    <font>
      <vertAlign val="subscript"/>
      <sz val="9"/>
      <color theme="1"/>
      <name val="Arial"/>
      <family val="2"/>
    </font>
    <font>
      <b/>
      <vertAlign val="subscript"/>
      <sz val="9"/>
      <color theme="1"/>
      <name val="Arial Narrow"/>
      <family val="2"/>
    </font>
    <font>
      <b/>
      <sz val="9"/>
      <color theme="1"/>
      <name val="Symbol"/>
      <family val="1"/>
      <charset val="2"/>
    </font>
    <font>
      <i/>
      <sz val="7"/>
      <name val="Arial"/>
      <family val="2"/>
    </font>
    <font>
      <sz val="6"/>
      <color theme="1"/>
      <name val="Arial Narrow"/>
      <family val="2"/>
    </font>
    <font>
      <sz val="9"/>
      <color theme="1"/>
      <name val="Calibri"/>
      <family val="2"/>
    </font>
    <font>
      <u/>
      <sz val="9"/>
      <name val="Arial"/>
      <family val="2"/>
    </font>
    <font>
      <sz val="9"/>
      <color theme="5"/>
      <name val="Arial"/>
      <family val="2"/>
    </font>
    <font>
      <sz val="11"/>
      <color rgb="FF2D4656"/>
      <name val="Arial"/>
      <family val="2"/>
    </font>
    <font>
      <vertAlign val="superscript"/>
      <sz val="9"/>
      <color theme="1"/>
      <name val="Arial"/>
      <family val="2"/>
    </font>
    <font>
      <sz val="11"/>
      <color rgb="FFC00000"/>
      <name val="Wingdings"/>
      <charset val="2"/>
    </font>
    <font>
      <b/>
      <sz val="9"/>
      <color rgb="FFC00000"/>
      <name val="Arial"/>
      <family val="2"/>
    </font>
    <font>
      <i/>
      <sz val="9"/>
      <color theme="1"/>
      <name val="Arial"/>
      <family val="2"/>
    </font>
    <font>
      <b/>
      <i/>
      <sz val="9"/>
      <color theme="1"/>
      <name val="Arial"/>
      <family val="2"/>
    </font>
    <font>
      <sz val="9"/>
      <color rgb="FFC00000"/>
      <name val="Arial Narrow"/>
      <family val="2"/>
    </font>
    <font>
      <b/>
      <sz val="9"/>
      <color rgb="FFC00000"/>
      <name val="Arial Narrow"/>
      <family val="2"/>
    </font>
    <font>
      <b/>
      <sz val="11"/>
      <color rgb="FFC00000"/>
      <name val="Arial"/>
      <family val="2"/>
    </font>
    <font>
      <sz val="11"/>
      <color rgb="FFFF0000"/>
      <name val="Arial"/>
      <family val="2"/>
    </font>
    <font>
      <sz val="8"/>
      <name val="Arial"/>
      <family val="2"/>
    </font>
    <font>
      <b/>
      <sz val="20"/>
      <color theme="1"/>
      <name val="Arial Narrow"/>
      <family val="2"/>
    </font>
    <font>
      <sz val="9"/>
      <color indexed="81"/>
      <name val="Segoe UI"/>
      <family val="2"/>
    </font>
    <font>
      <b/>
      <sz val="9"/>
      <color indexed="81"/>
      <name val="Segoe UI"/>
      <family val="2"/>
    </font>
    <font>
      <sz val="9"/>
      <color rgb="FFFF0000"/>
      <name val="Arial"/>
      <family val="2"/>
    </font>
    <font>
      <sz val="11"/>
      <color rgb="FFBBC3C9"/>
      <name val="Arial Narrow"/>
      <family val="2"/>
    </font>
    <font>
      <b/>
      <sz val="16"/>
      <color rgb="FFC00000"/>
      <name val="Arial"/>
      <family val="2"/>
    </font>
    <font>
      <sz val="11"/>
      <color rgb="FFC00000"/>
      <name val="Calibri"/>
      <family val="2"/>
      <scheme val="minor"/>
    </font>
    <font>
      <sz val="11"/>
      <name val="Wingdings"/>
      <charset val="2"/>
    </font>
    <font>
      <b/>
      <sz val="12"/>
      <color rgb="FF00B050"/>
      <name val="Wingdings"/>
      <charset val="2"/>
    </font>
    <font>
      <b/>
      <sz val="12"/>
      <color rgb="FF00B050"/>
      <name val="Arial"/>
      <family val="2"/>
    </font>
    <font>
      <sz val="11"/>
      <color rgb="FFFF0000"/>
      <name val="Arial Narrow"/>
      <family val="2"/>
    </font>
  </fonts>
  <fills count="1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9"/>
        <bgColor indexed="64"/>
      </patternFill>
    </fill>
    <fill>
      <patternFill patternType="solid">
        <fgColor theme="7"/>
        <bgColor indexed="64"/>
      </patternFill>
    </fill>
    <fill>
      <patternFill patternType="solid">
        <fgColor rgb="FFBBC3C9"/>
        <bgColor indexed="64"/>
      </patternFill>
    </fill>
    <fill>
      <patternFill patternType="solid">
        <fgColor rgb="FF2D4656"/>
        <bgColor indexed="64"/>
      </patternFill>
    </fill>
    <fill>
      <patternFill patternType="solid">
        <fgColor rgb="FF82919C"/>
        <bgColor indexed="64"/>
      </patternFill>
    </fill>
    <fill>
      <patternFill patternType="solid">
        <fgColor rgb="FFFFFF00"/>
        <bgColor indexed="64"/>
      </patternFill>
    </fill>
    <fill>
      <patternFill patternType="solid">
        <fgColor theme="5"/>
        <bgColor indexed="64"/>
      </patternFill>
    </fill>
    <fill>
      <patternFill patternType="solid">
        <fgColor rgb="FFFFC00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2D4656"/>
      </left>
      <right/>
      <top style="thin">
        <color rgb="FF2D4656"/>
      </top>
      <bottom style="thin">
        <color rgb="FF2D4656"/>
      </bottom>
      <diagonal/>
    </border>
    <border>
      <left/>
      <right style="thin">
        <color rgb="FF2D4656"/>
      </right>
      <top style="thin">
        <color rgb="FF2D4656"/>
      </top>
      <bottom style="thin">
        <color rgb="FF2D4656"/>
      </bottom>
      <diagonal/>
    </border>
    <border>
      <left/>
      <right/>
      <top style="thin">
        <color rgb="FF2D4656"/>
      </top>
      <bottom style="thin">
        <color rgb="FF2D4656"/>
      </bottom>
      <diagonal/>
    </border>
    <border>
      <left/>
      <right/>
      <top/>
      <bottom style="thin">
        <color rgb="FF2D4656"/>
      </bottom>
      <diagonal/>
    </border>
    <border>
      <left/>
      <right/>
      <top style="hair">
        <color rgb="FF2D4656"/>
      </top>
      <bottom style="hair">
        <color rgb="FF2D4656"/>
      </bottom>
      <diagonal/>
    </border>
    <border>
      <left/>
      <right/>
      <top/>
      <bottom style="hair">
        <color rgb="FF2D465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rgb="FF2D4656"/>
      </top>
      <bottom/>
      <diagonal/>
    </border>
    <border>
      <left/>
      <right/>
      <top style="thin">
        <color rgb="FF2D4656"/>
      </top>
      <bottom style="hair">
        <color rgb="FF2D4656"/>
      </bottom>
      <diagonal/>
    </border>
    <border>
      <left style="medium">
        <color indexed="64"/>
      </left>
      <right style="thin">
        <color indexed="64"/>
      </right>
      <top/>
      <bottom style="medium">
        <color indexed="64"/>
      </bottom>
      <diagonal/>
    </border>
    <border>
      <left/>
      <right/>
      <top style="hair">
        <color rgb="FF2D4656"/>
      </top>
      <bottom/>
      <diagonal/>
    </border>
    <border>
      <left style="hair">
        <color rgb="FF2D4656"/>
      </left>
      <right/>
      <top style="hair">
        <color rgb="FF2D4656"/>
      </top>
      <bottom/>
      <diagonal/>
    </border>
    <border>
      <left/>
      <right style="thin">
        <color indexed="64"/>
      </right>
      <top style="hair">
        <color rgb="FF2D4656"/>
      </top>
      <bottom/>
      <diagonal/>
    </border>
    <border>
      <left style="thin">
        <color indexed="64"/>
      </left>
      <right style="thin">
        <color indexed="64"/>
      </right>
      <top style="hair">
        <color rgb="FF2D4656"/>
      </top>
      <bottom/>
      <diagonal/>
    </border>
    <border>
      <left style="thin">
        <color indexed="64"/>
      </left>
      <right style="hair">
        <color rgb="FF2D4656"/>
      </right>
      <top style="hair">
        <color rgb="FF2D4656"/>
      </top>
      <bottom/>
      <diagonal/>
    </border>
    <border>
      <left style="hair">
        <color rgb="FF2D4656"/>
      </left>
      <right/>
      <top/>
      <bottom/>
      <diagonal/>
    </border>
    <border>
      <left/>
      <right style="hair">
        <color rgb="FF2D4656"/>
      </right>
      <top/>
      <bottom/>
      <diagonal/>
    </border>
    <border>
      <left style="hair">
        <color rgb="FF2D4656"/>
      </left>
      <right/>
      <top/>
      <bottom style="hair">
        <color rgb="FF2D4656"/>
      </bottom>
      <diagonal/>
    </border>
    <border>
      <left/>
      <right style="hair">
        <color rgb="FF2D4656"/>
      </right>
      <top/>
      <bottom style="hair">
        <color rgb="FF2D4656"/>
      </bottom>
      <diagonal/>
    </border>
    <border>
      <left style="hair">
        <color rgb="FF2D4656"/>
      </left>
      <right/>
      <top style="hair">
        <color rgb="FF2D4656"/>
      </top>
      <bottom style="hair">
        <color rgb="FF2D4656"/>
      </bottom>
      <diagonal/>
    </border>
    <border>
      <left/>
      <right/>
      <top style="medium">
        <color indexed="64"/>
      </top>
      <bottom/>
      <diagonal/>
    </border>
    <border>
      <left/>
      <right/>
      <top/>
      <bottom style="medium">
        <color indexed="64"/>
      </bottom>
      <diagonal/>
    </border>
    <border>
      <left/>
      <right style="hair">
        <color rgb="FF2D4656"/>
      </right>
      <top style="hair">
        <color rgb="FF2D4656"/>
      </top>
      <bottom style="hair">
        <color rgb="FF2D4656"/>
      </bottom>
      <diagonal/>
    </border>
    <border>
      <left/>
      <right style="hair">
        <color rgb="FF2D4656"/>
      </right>
      <top style="hair">
        <color rgb="FF2D4656"/>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80">
    <xf numFmtId="0" fontId="0" fillId="0" borderId="0" xfId="0"/>
    <xf numFmtId="0" fontId="3" fillId="0" borderId="1"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xf>
    <xf numFmtId="0" fontId="0" fillId="0" borderId="0" xfId="0" applyAlignment="1">
      <alignment vertical="center"/>
    </xf>
    <xf numFmtId="2" fontId="3" fillId="0" borderId="1" xfId="0" applyNumberFormat="1" applyFont="1" applyBorder="1" applyAlignment="1">
      <alignment horizontal="center" vertical="center"/>
    </xf>
    <xf numFmtId="0" fontId="5" fillId="3" borderId="1" xfId="0" applyFont="1" applyFill="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5" borderId="1" xfId="0" applyFont="1" applyFill="1" applyBorder="1" applyAlignment="1">
      <alignment vertical="center"/>
    </xf>
    <xf numFmtId="0" fontId="0" fillId="0" borderId="0" xfId="0" applyAlignment="1">
      <alignment wrapText="1"/>
    </xf>
    <xf numFmtId="0" fontId="3" fillId="0" borderId="3" xfId="0" applyFont="1" applyBorder="1" applyAlignment="1">
      <alignment horizontal="center" vertical="center"/>
    </xf>
    <xf numFmtId="0" fontId="5" fillId="3" borderId="5" xfId="0" applyFont="1" applyFill="1" applyBorder="1" applyAlignment="1">
      <alignment horizontal="left" vertical="center"/>
    </xf>
    <xf numFmtId="0" fontId="3" fillId="3" borderId="5"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0" fillId="0" borderId="0" xfId="0" applyAlignment="1">
      <alignment horizontal="center" vertical="center"/>
    </xf>
    <xf numFmtId="0" fontId="2" fillId="0" borderId="0" xfId="0" applyFont="1"/>
    <xf numFmtId="0" fontId="2" fillId="0" borderId="0" xfId="0" applyFont="1" applyAlignment="1">
      <alignment horizontal="center" vertical="center"/>
    </xf>
    <xf numFmtId="0" fontId="2" fillId="6" borderId="0" xfId="0" applyFont="1" applyFill="1"/>
    <xf numFmtId="0" fontId="2" fillId="6" borderId="0" xfId="0" applyFont="1" applyFill="1" applyAlignment="1">
      <alignment horizontal="center" vertical="center"/>
    </xf>
    <xf numFmtId="0" fontId="10" fillId="6" borderId="0" xfId="0" applyFont="1" applyFill="1"/>
    <xf numFmtId="0" fontId="12" fillId="6" borderId="0" xfId="0" applyFont="1" applyFill="1" applyAlignment="1">
      <alignment horizontal="right" vertical="center"/>
    </xf>
    <xf numFmtId="0" fontId="13" fillId="6" borderId="0" xfId="0" applyFont="1" applyFill="1"/>
    <xf numFmtId="0" fontId="11" fillId="6" borderId="0" xfId="0" applyFont="1" applyFill="1" applyAlignment="1">
      <alignment horizontal="center" vertical="center"/>
    </xf>
    <xf numFmtId="0" fontId="15" fillId="6" borderId="0" xfId="0" applyFont="1" applyFill="1"/>
    <xf numFmtId="0" fontId="11" fillId="6" borderId="0" xfId="0" applyFont="1" applyFill="1" applyAlignment="1">
      <alignment vertical="center"/>
    </xf>
    <xf numFmtId="0" fontId="16" fillId="6" borderId="0" xfId="0" applyFont="1" applyFill="1"/>
    <xf numFmtId="0" fontId="10" fillId="6" borderId="0" xfId="0" applyFont="1" applyFill="1" applyAlignment="1">
      <alignment horizontal="center" vertical="center"/>
    </xf>
    <xf numFmtId="0" fontId="19" fillId="6" borderId="0" xfId="0" applyFont="1" applyFill="1" applyAlignment="1">
      <alignment horizontal="right" vertical="center"/>
    </xf>
    <xf numFmtId="0" fontId="18" fillId="6" borderId="0" xfId="0" applyFont="1" applyFill="1" applyAlignment="1">
      <alignment vertical="center"/>
    </xf>
    <xf numFmtId="0" fontId="18" fillId="6" borderId="0" xfId="0" applyFont="1" applyFill="1"/>
    <xf numFmtId="0" fontId="22" fillId="6" borderId="0" xfId="0" applyFont="1" applyFill="1"/>
    <xf numFmtId="0" fontId="23" fillId="6" borderId="0" xfId="0" applyFont="1" applyFill="1" applyAlignment="1">
      <alignment horizontal="center" vertical="center" textRotation="90"/>
    </xf>
    <xf numFmtId="0" fontId="3" fillId="2" borderId="1" xfId="0" applyFont="1" applyFill="1" applyBorder="1" applyAlignment="1">
      <alignment vertical="center"/>
    </xf>
    <xf numFmtId="0" fontId="25" fillId="8" borderId="16" xfId="0" applyFont="1" applyFill="1" applyBorder="1" applyAlignment="1">
      <alignment vertical="center"/>
    </xf>
    <xf numFmtId="0" fontId="20" fillId="7" borderId="16" xfId="0" applyFont="1" applyFill="1" applyBorder="1" applyAlignment="1">
      <alignment vertical="center"/>
    </xf>
    <xf numFmtId="0" fontId="26" fillId="8" borderId="17" xfId="0" applyFont="1" applyFill="1" applyBorder="1" applyAlignment="1">
      <alignment horizontal="center" vertical="center"/>
    </xf>
    <xf numFmtId="0" fontId="3" fillId="4" borderId="1" xfId="0"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25" fillId="8" borderId="18" xfId="0" applyFont="1" applyFill="1" applyBorder="1" applyAlignment="1">
      <alignment vertical="center"/>
    </xf>
    <xf numFmtId="0" fontId="14" fillId="7" borderId="0" xfId="0" applyFont="1" applyFill="1" applyAlignment="1">
      <alignment horizontal="center" vertical="center"/>
    </xf>
    <xf numFmtId="0" fontId="24"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0" fontId="11" fillId="0" borderId="0" xfId="0" applyFont="1"/>
    <xf numFmtId="0" fontId="10" fillId="0" borderId="0" xfId="0" applyFont="1"/>
    <xf numFmtId="0" fontId="18" fillId="0" borderId="0" xfId="0" applyFont="1" applyAlignment="1">
      <alignment vertical="center"/>
    </xf>
    <xf numFmtId="0" fontId="28" fillId="0" borderId="0" xfId="0" applyFont="1" applyAlignment="1">
      <alignment vertical="center"/>
    </xf>
    <xf numFmtId="0" fontId="10" fillId="0" borderId="0" xfId="0" applyFont="1" applyAlignment="1">
      <alignment vertical="center"/>
    </xf>
    <xf numFmtId="0" fontId="9" fillId="6" borderId="0" xfId="0" applyFont="1" applyFill="1"/>
    <xf numFmtId="0" fontId="10" fillId="6" borderId="0" xfId="0" applyFont="1" applyFill="1" applyAlignment="1">
      <alignment vertical="center"/>
    </xf>
    <xf numFmtId="0" fontId="17" fillId="6" borderId="0" xfId="0" applyFont="1" applyFill="1" applyAlignment="1">
      <alignment vertical="center"/>
    </xf>
    <xf numFmtId="0" fontId="11" fillId="6" borderId="0" xfId="0" applyFont="1" applyFill="1"/>
    <xf numFmtId="1" fontId="18" fillId="0" borderId="20" xfId="0" applyNumberFormat="1" applyFont="1" applyBorder="1" applyAlignment="1">
      <alignment horizontal="center" vertical="center"/>
    </xf>
    <xf numFmtId="167" fontId="18" fillId="0" borderId="21" xfId="0" applyNumberFormat="1" applyFont="1" applyBorder="1" applyAlignment="1">
      <alignment horizontal="center" vertical="center"/>
    </xf>
    <xf numFmtId="1" fontId="18" fillId="0" borderId="21" xfId="0" applyNumberFormat="1" applyFont="1" applyBorder="1" applyAlignment="1">
      <alignment horizontal="center" vertical="center"/>
    </xf>
    <xf numFmtId="0" fontId="20" fillId="7" borderId="18" xfId="0" applyFont="1" applyFill="1" applyBorder="1" applyAlignment="1">
      <alignment vertical="center"/>
    </xf>
    <xf numFmtId="0" fontId="29" fillId="0" borderId="0" xfId="0" applyFont="1" applyAlignment="1">
      <alignment vertical="center"/>
    </xf>
    <xf numFmtId="0" fontId="2" fillId="5" borderId="1" xfId="0" applyFont="1" applyFill="1" applyBorder="1" applyAlignment="1">
      <alignment horizontal="center" vertical="center"/>
    </xf>
    <xf numFmtId="3" fontId="6" fillId="6" borderId="0" xfId="0" applyNumberFormat="1" applyFont="1" applyFill="1"/>
    <xf numFmtId="4" fontId="6" fillId="6" borderId="0" xfId="0" applyNumberFormat="1" applyFont="1" applyFill="1"/>
    <xf numFmtId="0" fontId="18" fillId="0" borderId="0" xfId="0" applyFont="1" applyAlignment="1">
      <alignment horizontal="center" vertical="center"/>
    </xf>
    <xf numFmtId="0" fontId="18" fillId="0" borderId="21" xfId="0" applyFont="1" applyBorder="1" applyAlignment="1">
      <alignment horizontal="center" vertical="center" wrapText="1"/>
    </xf>
    <xf numFmtId="0" fontId="30" fillId="0" borderId="0" xfId="0" applyFont="1" applyAlignment="1">
      <alignment vertical="center"/>
    </xf>
    <xf numFmtId="0" fontId="3" fillId="0" borderId="0" xfId="0" applyFont="1" applyAlignment="1">
      <alignment vertical="center"/>
    </xf>
    <xf numFmtId="0" fontId="32" fillId="6" borderId="0" xfId="0" applyFont="1" applyFill="1" applyAlignment="1">
      <alignment horizontal="center" vertical="center"/>
    </xf>
    <xf numFmtId="0" fontId="31" fillId="6" borderId="0" xfId="0" applyFont="1" applyFill="1" applyAlignment="1">
      <alignment horizontal="center" vertical="center"/>
    </xf>
    <xf numFmtId="0" fontId="31" fillId="2" borderId="0" xfId="0" applyFont="1" applyFill="1" applyAlignment="1">
      <alignment horizontal="center" vertical="center"/>
    </xf>
    <xf numFmtId="9" fontId="31" fillId="2" borderId="0" xfId="1" applyFont="1" applyFill="1" applyAlignment="1">
      <alignment horizontal="center" vertical="center"/>
    </xf>
    <xf numFmtId="0" fontId="31" fillId="0" borderId="0" xfId="0" applyFont="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33" fillId="6" borderId="0" xfId="0" applyFont="1" applyFill="1" applyAlignment="1">
      <alignment horizontal="center" vertical="center" textRotation="90"/>
    </xf>
    <xf numFmtId="0" fontId="16" fillId="6" borderId="0" xfId="0" applyFont="1" applyFill="1" applyAlignment="1">
      <alignment horizontal="center" vertical="center"/>
    </xf>
    <xf numFmtId="0" fontId="34" fillId="6" borderId="0" xfId="0" applyFont="1" applyFill="1" applyAlignment="1">
      <alignment horizontal="center" vertical="center"/>
    </xf>
    <xf numFmtId="0" fontId="35" fillId="6" borderId="0" xfId="0" applyFont="1" applyFill="1" applyAlignment="1">
      <alignment horizontal="center" vertical="center"/>
    </xf>
    <xf numFmtId="0" fontId="18" fillId="0" borderId="21" xfId="0" applyFont="1" applyBorder="1" applyAlignment="1">
      <alignment vertical="center"/>
    </xf>
    <xf numFmtId="0" fontId="0" fillId="0" borderId="1" xfId="0" applyBorder="1"/>
    <xf numFmtId="0" fontId="37" fillId="0" borderId="1" xfId="0" applyFont="1" applyBorder="1"/>
    <xf numFmtId="0" fontId="25" fillId="8" borderId="2" xfId="0" applyFont="1" applyFill="1" applyBorder="1" applyAlignment="1">
      <alignment vertical="center"/>
    </xf>
    <xf numFmtId="0" fontId="25" fillId="8" borderId="4" xfId="0" applyFont="1" applyFill="1" applyBorder="1" applyAlignment="1">
      <alignment vertical="center"/>
    </xf>
    <xf numFmtId="0" fontId="16" fillId="0" borderId="0" xfId="0" applyFont="1"/>
    <xf numFmtId="0" fontId="38" fillId="0" borderId="0" xfId="0" applyFont="1" applyAlignment="1">
      <alignment vertical="center"/>
    </xf>
    <xf numFmtId="0" fontId="33" fillId="0" borderId="0" xfId="0" applyFont="1"/>
    <xf numFmtId="0" fontId="31" fillId="6" borderId="0" xfId="0" applyFont="1" applyFill="1"/>
    <xf numFmtId="0" fontId="16" fillId="6" borderId="0" xfId="0" applyFont="1" applyFill="1" applyAlignment="1">
      <alignment horizontal="left" vertical="center"/>
    </xf>
    <xf numFmtId="0" fontId="3" fillId="0" borderId="3" xfId="0" applyFont="1" applyBorder="1" applyAlignment="1">
      <alignment vertical="center"/>
    </xf>
    <xf numFmtId="0" fontId="2" fillId="3" borderId="6" xfId="0" applyFont="1" applyFill="1" applyBorder="1"/>
    <xf numFmtId="0" fontId="3" fillId="0" borderId="2" xfId="0" applyFont="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10" fontId="2" fillId="2" borderId="9" xfId="1" applyNumberFormat="1" applyFont="1" applyFill="1" applyBorder="1" applyAlignment="1">
      <alignment horizontal="center" vertical="center"/>
    </xf>
    <xf numFmtId="165" fontId="2" fillId="2" borderId="9" xfId="1" applyNumberFormat="1" applyFont="1" applyFill="1" applyBorder="1" applyAlignment="1">
      <alignment horizontal="center" vertical="center"/>
    </xf>
    <xf numFmtId="10" fontId="2" fillId="5" borderId="9" xfId="1" applyNumberFormat="1" applyFont="1" applyFill="1" applyBorder="1" applyAlignment="1">
      <alignment horizontal="center" vertical="center"/>
    </xf>
    <xf numFmtId="166" fontId="31" fillId="6" borderId="0" xfId="1" applyNumberFormat="1" applyFont="1" applyFill="1" applyAlignment="1">
      <alignment horizontal="center" vertical="center"/>
    </xf>
    <xf numFmtId="4" fontId="31" fillId="6" borderId="0" xfId="0" applyNumberFormat="1" applyFont="1" applyFill="1" applyAlignment="1">
      <alignment horizontal="center" vertical="center"/>
    </xf>
    <xf numFmtId="165" fontId="31" fillId="2" borderId="0" xfId="0" applyNumberFormat="1" applyFont="1" applyFill="1" applyAlignment="1">
      <alignment horizontal="center" vertical="center"/>
    </xf>
    <xf numFmtId="0" fontId="18" fillId="0" borderId="19" xfId="0" applyFont="1" applyBorder="1" applyAlignment="1">
      <alignment horizontal="center" vertical="center"/>
    </xf>
    <xf numFmtId="10" fontId="31" fillId="2" borderId="0" xfId="1" applyNumberFormat="1" applyFont="1" applyFill="1" applyAlignment="1">
      <alignment horizontal="center" vertical="center"/>
    </xf>
    <xf numFmtId="10" fontId="31" fillId="6" borderId="0" xfId="1" applyNumberFormat="1" applyFont="1" applyFill="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2" xfId="0" applyFont="1" applyFill="1" applyBorder="1" applyAlignment="1">
      <alignment vertical="center"/>
    </xf>
    <xf numFmtId="0" fontId="3"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2" fontId="3" fillId="5"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3" fillId="5" borderId="24" xfId="0" applyFont="1" applyFill="1" applyBorder="1" applyAlignment="1">
      <alignment horizontal="left" vertical="center"/>
    </xf>
    <xf numFmtId="10" fontId="3" fillId="5" borderId="1" xfId="1" applyNumberFormat="1" applyFont="1" applyFill="1" applyBorder="1" applyAlignment="1">
      <alignment horizontal="center" vertical="center"/>
    </xf>
    <xf numFmtId="0" fontId="3" fillId="5" borderId="10" xfId="0" applyFont="1" applyFill="1" applyBorder="1" applyAlignment="1">
      <alignment vertical="center"/>
    </xf>
    <xf numFmtId="0" fontId="3" fillId="5" borderId="12" xfId="0" applyFont="1" applyFill="1" applyBorder="1" applyAlignment="1">
      <alignment vertical="center"/>
    </xf>
    <xf numFmtId="0" fontId="3" fillId="5" borderId="14" xfId="0" applyFont="1" applyFill="1" applyBorder="1" applyAlignment="1">
      <alignment vertical="center"/>
    </xf>
    <xf numFmtId="0" fontId="3" fillId="3" borderId="5" xfId="0" applyFont="1" applyFill="1" applyBorder="1" applyAlignment="1">
      <alignment horizontal="center" vertical="center"/>
    </xf>
    <xf numFmtId="2" fontId="3" fillId="5" borderId="26" xfId="0" applyNumberFormat="1" applyFont="1" applyFill="1" applyBorder="1" applyAlignment="1">
      <alignment horizontal="center" vertical="center"/>
    </xf>
    <xf numFmtId="0" fontId="3" fillId="5" borderId="26" xfId="0" applyFont="1" applyFill="1" applyBorder="1" applyAlignment="1">
      <alignment horizontal="center" vertical="center"/>
    </xf>
    <xf numFmtId="2" fontId="3" fillId="5" borderId="28" xfId="0" applyNumberFormat="1" applyFont="1" applyFill="1" applyBorder="1" applyAlignment="1">
      <alignment horizontal="center" vertical="center"/>
    </xf>
    <xf numFmtId="2" fontId="3" fillId="5"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165" fontId="31" fillId="6" borderId="0" xfId="0" applyNumberFormat="1" applyFont="1" applyFill="1" applyAlignment="1">
      <alignment horizontal="center" vertical="center"/>
    </xf>
    <xf numFmtId="0" fontId="0" fillId="3" borderId="6" xfId="0" applyFill="1" applyBorder="1"/>
    <xf numFmtId="0" fontId="3" fillId="2" borderId="10" xfId="0" applyFont="1" applyFill="1" applyBorder="1" applyAlignment="1">
      <alignment vertical="center"/>
    </xf>
    <xf numFmtId="0" fontId="3" fillId="2" borderId="26" xfId="0" applyFont="1" applyFill="1" applyBorder="1" applyAlignment="1">
      <alignment vertical="center"/>
    </xf>
    <xf numFmtId="0" fontId="3" fillId="2" borderId="12" xfId="0" applyFont="1" applyFill="1" applyBorder="1" applyAlignment="1">
      <alignment vertical="center"/>
    </xf>
    <xf numFmtId="0" fontId="3" fillId="2" borderId="14" xfId="0" applyFont="1" applyFill="1" applyBorder="1" applyAlignment="1">
      <alignment vertical="center"/>
    </xf>
    <xf numFmtId="0" fontId="3" fillId="2" borderId="27" xfId="0" applyFont="1" applyFill="1" applyBorder="1" applyAlignment="1">
      <alignment vertical="center"/>
    </xf>
    <xf numFmtId="0" fontId="3" fillId="2" borderId="27" xfId="0" applyFont="1" applyFill="1" applyBorder="1" applyAlignment="1">
      <alignment horizontal="center" vertical="center"/>
    </xf>
    <xf numFmtId="0" fontId="3" fillId="5" borderId="31" xfId="0" applyFont="1" applyFill="1" applyBorder="1" applyAlignment="1">
      <alignment vertical="center"/>
    </xf>
    <xf numFmtId="2" fontId="3" fillId="2" borderId="27" xfId="0" applyNumberFormat="1" applyFont="1" applyFill="1" applyBorder="1" applyAlignment="1">
      <alignment horizontal="center" vertical="center"/>
    </xf>
    <xf numFmtId="10" fontId="3" fillId="2" borderId="27" xfId="1" applyNumberFormat="1" applyFont="1" applyFill="1" applyBorder="1" applyAlignment="1">
      <alignment horizontal="center" vertical="center"/>
    </xf>
    <xf numFmtId="10" fontId="18" fillId="0" borderId="0" xfId="1" applyNumberFormat="1" applyFont="1" applyFill="1" applyAlignment="1" applyProtection="1">
      <alignment vertical="center"/>
    </xf>
    <xf numFmtId="0" fontId="30" fillId="0" borderId="0" xfId="0" applyFont="1"/>
    <xf numFmtId="0" fontId="31" fillId="6" borderId="0" xfId="0" applyFont="1" applyFill="1" applyAlignment="1">
      <alignment horizontal="left" vertical="center"/>
    </xf>
    <xf numFmtId="0" fontId="29" fillId="0" borderId="0" xfId="0" applyFont="1" applyAlignment="1">
      <alignment vertical="top"/>
    </xf>
    <xf numFmtId="0" fontId="0" fillId="0" borderId="0" xfId="0" applyAlignment="1">
      <alignment vertical="top" wrapText="1"/>
    </xf>
    <xf numFmtId="0" fontId="0" fillId="0" borderId="0" xfId="0" quotePrefix="1" applyAlignment="1">
      <alignment vertical="top" wrapText="1"/>
    </xf>
    <xf numFmtId="0" fontId="2" fillId="6" borderId="0" xfId="0" applyFont="1" applyFill="1" applyAlignment="1">
      <alignment vertical="center"/>
    </xf>
    <xf numFmtId="0" fontId="16" fillId="0" borderId="0" xfId="0" applyFont="1" applyAlignment="1">
      <alignment horizontal="right" vertical="center"/>
    </xf>
    <xf numFmtId="0" fontId="33" fillId="0" borderId="0" xfId="0" applyFont="1" applyAlignment="1">
      <alignment horizontal="right" vertical="center"/>
    </xf>
    <xf numFmtId="0" fontId="16" fillId="0" borderId="0" xfId="0" applyFont="1" applyAlignment="1">
      <alignment vertical="center"/>
    </xf>
    <xf numFmtId="0" fontId="16" fillId="0" borderId="21" xfId="0" applyFont="1" applyBorder="1" applyAlignment="1">
      <alignment vertical="center"/>
    </xf>
    <xf numFmtId="0" fontId="34" fillId="0" borderId="0" xfId="0" applyFont="1" applyAlignment="1">
      <alignment horizontal="left" vertical="center" wrapText="1"/>
    </xf>
    <xf numFmtId="0" fontId="25" fillId="7" borderId="18" xfId="0" applyFont="1" applyFill="1" applyBorder="1" applyAlignment="1">
      <alignment vertical="center"/>
    </xf>
    <xf numFmtId="0" fontId="46" fillId="6" borderId="0" xfId="0" applyFont="1" applyFill="1" applyAlignment="1">
      <alignment horizontal="right" vertical="center"/>
    </xf>
    <xf numFmtId="0" fontId="26" fillId="6" borderId="0" xfId="0" applyFont="1" applyFill="1" applyAlignment="1">
      <alignment horizontal="center" vertical="center"/>
    </xf>
    <xf numFmtId="0" fontId="36" fillId="6" borderId="0" xfId="0" applyFont="1" applyFill="1" applyAlignment="1">
      <alignment horizontal="center" vertical="center"/>
    </xf>
    <xf numFmtId="0" fontId="36" fillId="6" borderId="0" xfId="0" applyFont="1" applyFill="1" applyAlignment="1">
      <alignment horizontal="right" vertical="center"/>
    </xf>
    <xf numFmtId="0" fontId="47" fillId="8" borderId="17" xfId="0" applyFont="1" applyFill="1" applyBorder="1" applyAlignment="1">
      <alignment horizontal="center" vertical="center"/>
    </xf>
    <xf numFmtId="0" fontId="0" fillId="9" borderId="0" xfId="0" applyFill="1"/>
    <xf numFmtId="0" fontId="16" fillId="0" borderId="0" xfId="0" applyFont="1" applyAlignment="1">
      <alignment horizontal="left" vertical="center" indent="7"/>
    </xf>
    <xf numFmtId="0" fontId="9" fillId="6" borderId="0" xfId="0" applyFont="1" applyFill="1" applyAlignment="1">
      <alignment wrapText="1"/>
    </xf>
    <xf numFmtId="0" fontId="18" fillId="0" borderId="0" xfId="0" applyFont="1" applyAlignment="1">
      <alignment vertical="center" wrapText="1"/>
    </xf>
    <xf numFmtId="0" fontId="18" fillId="0" borderId="20" xfId="0" applyFont="1" applyBorder="1" applyAlignment="1">
      <alignment vertical="center" wrapText="1"/>
    </xf>
    <xf numFmtId="0" fontId="11" fillId="0" borderId="20" xfId="0" applyFont="1" applyBorder="1" applyAlignment="1">
      <alignment vertical="center"/>
    </xf>
    <xf numFmtId="0" fontId="18" fillId="0" borderId="30" xfId="0" applyFont="1" applyBorder="1" applyAlignment="1">
      <alignment vertical="center" wrapText="1"/>
    </xf>
    <xf numFmtId="0" fontId="11" fillId="0" borderId="30" xfId="0" applyFont="1" applyBorder="1" applyAlignment="1">
      <alignment vertical="center"/>
    </xf>
    <xf numFmtId="0" fontId="38" fillId="0" borderId="0" xfId="0" applyFont="1"/>
    <xf numFmtId="0" fontId="16" fillId="0" borderId="33" xfId="0" applyFont="1" applyBorder="1" applyAlignment="1">
      <alignment vertical="top" wrapText="1"/>
    </xf>
    <xf numFmtId="0" fontId="16" fillId="0" borderId="37" xfId="0" applyFont="1" applyBorder="1" applyAlignment="1">
      <alignment vertical="top" wrapText="1"/>
    </xf>
    <xf numFmtId="0" fontId="2" fillId="0" borderId="37" xfId="0" applyFont="1" applyBorder="1"/>
    <xf numFmtId="0" fontId="2" fillId="0" borderId="38" xfId="0" applyFont="1" applyBorder="1" applyAlignment="1">
      <alignment horizontal="center" vertical="center"/>
    </xf>
    <xf numFmtId="0" fontId="23" fillId="0" borderId="37" xfId="0" applyFont="1" applyBorder="1" applyAlignment="1">
      <alignment vertical="top" wrapText="1"/>
    </xf>
    <xf numFmtId="0" fontId="16" fillId="0" borderId="37" xfId="0" applyFont="1" applyBorder="1"/>
    <xf numFmtId="166" fontId="16" fillId="0" borderId="38" xfId="1" applyNumberFormat="1" applyFont="1" applyBorder="1" applyAlignment="1">
      <alignment vertical="center"/>
    </xf>
    <xf numFmtId="0" fontId="16" fillId="0" borderId="41" xfId="0" applyFont="1" applyBorder="1" applyAlignment="1">
      <alignment vertical="top" wrapText="1"/>
    </xf>
    <xf numFmtId="0" fontId="31" fillId="6" borderId="0" xfId="0" quotePrefix="1" applyFont="1" applyFill="1" applyAlignment="1">
      <alignment horizontal="center" vertical="center"/>
    </xf>
    <xf numFmtId="0" fontId="47" fillId="7" borderId="17" xfId="0" applyFont="1" applyFill="1" applyBorder="1" applyAlignment="1">
      <alignment horizontal="center" vertical="center"/>
    </xf>
    <xf numFmtId="0" fontId="26" fillId="8" borderId="3" xfId="0" applyFont="1" applyFill="1" applyBorder="1" applyAlignment="1">
      <alignment horizontal="center" vertical="center"/>
    </xf>
    <xf numFmtId="0" fontId="3" fillId="5" borderId="1" xfId="0" applyFont="1" applyFill="1" applyBorder="1" applyAlignment="1">
      <alignment vertical="center" wrapText="1"/>
    </xf>
    <xf numFmtId="0" fontId="49" fillId="6" borderId="0" xfId="0" applyFont="1" applyFill="1" applyAlignment="1">
      <alignment horizontal="center" vertical="center"/>
    </xf>
    <xf numFmtId="0" fontId="20" fillId="8" borderId="18" xfId="0" applyFont="1" applyFill="1" applyBorder="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0" fillId="0" borderId="0" xfId="0" applyFont="1" applyAlignment="1">
      <alignment horizontal="center" vertical="center"/>
    </xf>
    <xf numFmtId="3" fontId="2" fillId="5" borderId="9" xfId="0" applyNumberFormat="1" applyFont="1" applyFill="1" applyBorder="1" applyAlignment="1">
      <alignment horizontal="center" vertical="center"/>
    </xf>
    <xf numFmtId="0" fontId="0" fillId="0" borderId="0" xfId="0" quotePrefix="1"/>
    <xf numFmtId="0" fontId="2" fillId="6" borderId="0" xfId="0" quotePrefix="1" applyFont="1" applyFill="1"/>
    <xf numFmtId="0" fontId="18" fillId="0" borderId="20" xfId="0" applyFont="1" applyBorder="1" applyAlignment="1">
      <alignment wrapText="1"/>
    </xf>
    <xf numFmtId="0" fontId="50" fillId="6" borderId="0" xfId="0" applyFont="1" applyFill="1" applyAlignment="1">
      <alignment vertical="center"/>
    </xf>
    <xf numFmtId="0" fontId="55" fillId="6" borderId="0" xfId="0" applyFont="1" applyFill="1" applyAlignment="1">
      <alignment horizontal="center" vertical="center"/>
    </xf>
    <xf numFmtId="1" fontId="21" fillId="0" borderId="21" xfId="0" applyNumberFormat="1" applyFont="1" applyBorder="1" applyAlignment="1" applyProtection="1">
      <alignment horizontal="center" vertical="center"/>
      <protection locked="0"/>
    </xf>
    <xf numFmtId="1" fontId="21" fillId="0" borderId="20" xfId="0" applyNumberFormat="1" applyFont="1" applyBorder="1" applyAlignment="1" applyProtection="1">
      <alignment horizontal="center" vertical="center"/>
      <protection locked="0"/>
    </xf>
    <xf numFmtId="0" fontId="16" fillId="0" borderId="38" xfId="0" applyFont="1" applyBorder="1" applyAlignment="1">
      <alignment vertical="center" wrapText="1"/>
    </xf>
    <xf numFmtId="0" fontId="3" fillId="6" borderId="0" xfId="0" applyFont="1" applyFill="1"/>
    <xf numFmtId="0" fontId="33" fillId="0" borderId="0" xfId="0" applyFont="1" applyAlignment="1">
      <alignment horizontal="left" vertical="center"/>
    </xf>
    <xf numFmtId="0" fontId="0" fillId="5" borderId="0" xfId="0" applyFill="1"/>
    <xf numFmtId="0" fontId="0" fillId="10" borderId="0" xfId="0" applyFill="1"/>
    <xf numFmtId="0" fontId="0" fillId="2" borderId="0" xfId="0" applyFill="1"/>
    <xf numFmtId="0" fontId="0" fillId="0" borderId="0" xfId="0" applyAlignment="1">
      <alignment horizontal="left"/>
    </xf>
    <xf numFmtId="0" fontId="3" fillId="5" borderId="1" xfId="0" applyFont="1" applyFill="1" applyBorder="1" applyAlignment="1">
      <alignment horizontal="left" vertical="center"/>
    </xf>
    <xf numFmtId="0" fontId="3" fillId="3" borderId="6" xfId="0" applyFont="1" applyFill="1" applyBorder="1" applyAlignment="1">
      <alignment horizontal="left" vertical="center"/>
    </xf>
    <xf numFmtId="0" fontId="3" fillId="5" borderId="10" xfId="0" applyFont="1" applyFill="1" applyBorder="1" applyAlignment="1">
      <alignment horizontal="left" vertical="center"/>
    </xf>
    <xf numFmtId="0" fontId="3" fillId="5" borderId="26" xfId="0" applyFont="1" applyFill="1" applyBorder="1" applyAlignment="1">
      <alignment horizontal="left" vertical="center"/>
    </xf>
    <xf numFmtId="0" fontId="0" fillId="5" borderId="42" xfId="0" applyFill="1" applyBorder="1"/>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5" borderId="14" xfId="0" applyFont="1" applyFill="1" applyBorder="1" applyAlignment="1">
      <alignment horizontal="left" vertical="center"/>
    </xf>
    <xf numFmtId="0" fontId="3" fillId="5" borderId="27" xfId="0" applyFont="1" applyFill="1" applyBorder="1" applyAlignment="1">
      <alignment horizontal="left" vertical="center"/>
    </xf>
    <xf numFmtId="0" fontId="0" fillId="5" borderId="43" xfId="0" applyFill="1" applyBorder="1"/>
    <xf numFmtId="0" fontId="3" fillId="5" borderId="15" xfId="0" applyFont="1" applyFill="1" applyBorder="1" applyAlignment="1">
      <alignment horizontal="left" vertical="center"/>
    </xf>
    <xf numFmtId="0" fontId="3" fillId="2" borderId="1" xfId="0" applyFont="1" applyFill="1" applyBorder="1" applyAlignment="1">
      <alignment horizontal="left" vertical="center"/>
    </xf>
    <xf numFmtId="0" fontId="18" fillId="0" borderId="0" xfId="0" applyFont="1" applyAlignment="1">
      <alignment vertical="top"/>
    </xf>
    <xf numFmtId="0" fontId="16" fillId="0" borderId="39" xfId="0" applyFont="1" applyBorder="1"/>
    <xf numFmtId="0" fontId="16" fillId="0" borderId="40" xfId="0" applyFont="1" applyBorder="1" applyAlignment="1">
      <alignment horizontal="center" vertical="center"/>
    </xf>
    <xf numFmtId="0" fontId="3" fillId="2" borderId="5" xfId="0" applyFont="1" applyFill="1" applyBorder="1" applyAlignment="1">
      <alignment vertical="center"/>
    </xf>
    <xf numFmtId="0" fontId="3" fillId="2" borderId="9" xfId="0" applyFont="1" applyFill="1" applyBorder="1" applyAlignment="1">
      <alignment horizontal="center" vertical="center"/>
    </xf>
    <xf numFmtId="0" fontId="56" fillId="6" borderId="0" xfId="0" quotePrefix="1" applyFont="1" applyFill="1"/>
    <xf numFmtId="0" fontId="34" fillId="6" borderId="0" xfId="0" applyFont="1" applyFill="1" applyAlignment="1">
      <alignment vertical="center"/>
    </xf>
    <xf numFmtId="0" fontId="3" fillId="11" borderId="1" xfId="0" applyFont="1" applyFill="1" applyBorder="1" applyAlignment="1">
      <alignment vertical="center" wrapText="1"/>
    </xf>
    <xf numFmtId="0" fontId="16" fillId="0" borderId="0" xfId="0" applyFont="1" applyAlignment="1">
      <alignment horizontal="left" vertical="center" indent="8"/>
    </xf>
    <xf numFmtId="0" fontId="22" fillId="0" borderId="0" xfId="0" applyFont="1" applyAlignment="1">
      <alignment vertical="center"/>
    </xf>
    <xf numFmtId="165" fontId="0" fillId="0" borderId="0" xfId="0" applyNumberFormat="1" applyAlignment="1">
      <alignment horizontal="center" vertical="center"/>
    </xf>
    <xf numFmtId="10" fontId="0" fillId="0" borderId="0" xfId="1" applyNumberFormat="1" applyFont="1"/>
    <xf numFmtId="10" fontId="0" fillId="0" borderId="0" xfId="0" applyNumberFormat="1"/>
    <xf numFmtId="165" fontId="0" fillId="0" borderId="0" xfId="0" applyNumberFormat="1"/>
    <xf numFmtId="0" fontId="43" fillId="3" borderId="25" xfId="0" applyFont="1" applyFill="1" applyBorder="1" applyAlignment="1">
      <alignment horizontal="left" vertical="center"/>
    </xf>
    <xf numFmtId="0" fontId="58" fillId="0" borderId="0" xfId="0" applyFont="1"/>
    <xf numFmtId="0" fontId="10" fillId="0" borderId="0" xfId="0" applyFont="1" applyAlignment="1">
      <alignment horizontal="center" vertical="center"/>
    </xf>
    <xf numFmtId="0" fontId="5" fillId="3" borderId="46" xfId="0" applyFont="1" applyFill="1" applyBorder="1" applyAlignment="1">
      <alignment horizontal="left" vertical="center"/>
    </xf>
    <xf numFmtId="0" fontId="3" fillId="5" borderId="2" xfId="0" applyFont="1" applyFill="1" applyBorder="1" applyAlignment="1">
      <alignment horizontal="center" vertical="center"/>
    </xf>
    <xf numFmtId="0" fontId="3" fillId="0" borderId="2" xfId="0" applyFont="1" applyBorder="1" applyAlignment="1">
      <alignment horizontal="center" vertical="center"/>
    </xf>
    <xf numFmtId="0" fontId="43" fillId="3" borderId="6" xfId="0" applyFont="1" applyFill="1" applyBorder="1" applyAlignment="1">
      <alignment horizontal="left"/>
    </xf>
    <xf numFmtId="9" fontId="3" fillId="2" borderId="26" xfId="1" applyFont="1" applyFill="1" applyBorder="1" applyAlignment="1">
      <alignment horizontal="center" vertical="center"/>
    </xf>
    <xf numFmtId="9" fontId="3" fillId="2" borderId="1" xfId="1" applyFont="1" applyFill="1" applyBorder="1" applyAlignment="1">
      <alignment horizontal="center" vertical="center"/>
    </xf>
    <xf numFmtId="9" fontId="3" fillId="2" borderId="27" xfId="1" applyFont="1" applyFill="1" applyBorder="1" applyAlignment="1">
      <alignment horizontal="center" vertical="center"/>
    </xf>
    <xf numFmtId="9" fontId="3" fillId="5" borderId="1" xfId="1" applyFont="1" applyFill="1" applyBorder="1" applyAlignment="1">
      <alignment horizontal="center" vertical="center"/>
    </xf>
    <xf numFmtId="0" fontId="3" fillId="12" borderId="1" xfId="0" applyFont="1" applyFill="1" applyBorder="1" applyAlignment="1">
      <alignment vertical="center"/>
    </xf>
    <xf numFmtId="0" fontId="2" fillId="12" borderId="5" xfId="0" applyFont="1" applyFill="1" applyBorder="1" applyAlignment="1">
      <alignment horizontal="left" vertical="center"/>
    </xf>
    <xf numFmtId="0" fontId="21" fillId="0" borderId="20" xfId="0" applyFont="1" applyBorder="1" applyAlignment="1">
      <alignment wrapText="1"/>
    </xf>
    <xf numFmtId="0" fontId="3" fillId="0" borderId="0" xfId="0" applyFont="1" applyAlignment="1">
      <alignment vertical="center" wrapText="1"/>
    </xf>
    <xf numFmtId="2" fontId="18" fillId="0" borderId="20" xfId="0" applyNumberFormat="1" applyFont="1" applyBorder="1" applyAlignment="1">
      <alignment horizontal="center" vertical="center"/>
    </xf>
    <xf numFmtId="0" fontId="6" fillId="0" borderId="0" xfId="0" applyFont="1" applyAlignment="1">
      <alignment vertical="center"/>
    </xf>
    <xf numFmtId="0" fontId="21" fillId="0" borderId="0" xfId="0" applyFont="1" applyAlignment="1">
      <alignment vertical="center"/>
    </xf>
    <xf numFmtId="2" fontId="2" fillId="5" borderId="9" xfId="1" applyNumberFormat="1" applyFont="1" applyFill="1" applyBorder="1" applyAlignment="1">
      <alignment horizontal="center" vertical="center"/>
    </xf>
    <xf numFmtId="0" fontId="18" fillId="0" borderId="20" xfId="0" applyFont="1" applyBorder="1" applyAlignment="1">
      <alignment vertical="center"/>
    </xf>
    <xf numFmtId="0" fontId="2" fillId="6" borderId="1" xfId="0" applyFont="1" applyFill="1" applyBorder="1" applyAlignment="1">
      <alignment vertical="center"/>
    </xf>
    <xf numFmtId="0" fontId="6" fillId="6" borderId="1" xfId="0" applyFont="1" applyFill="1" applyBorder="1" applyAlignment="1">
      <alignment vertical="center"/>
    </xf>
    <xf numFmtId="0" fontId="0" fillId="6" borderId="1" xfId="0" applyFill="1" applyBorder="1"/>
    <xf numFmtId="0" fontId="2" fillId="6"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47" fillId="0" borderId="20" xfId="0" applyFont="1" applyBorder="1" applyAlignment="1">
      <alignment horizontal="center" vertical="center"/>
    </xf>
    <xf numFmtId="0" fontId="47" fillId="0" borderId="30" xfId="0" applyFont="1" applyBorder="1" applyAlignment="1">
      <alignment horizontal="center" vertical="center"/>
    </xf>
    <xf numFmtId="172" fontId="18" fillId="0" borderId="21" xfId="0" applyNumberFormat="1" applyFont="1" applyBorder="1" applyAlignment="1">
      <alignment vertical="center"/>
    </xf>
    <xf numFmtId="10" fontId="3" fillId="0" borderId="1" xfId="1" applyNumberFormat="1" applyFont="1" applyFill="1" applyBorder="1" applyAlignment="1">
      <alignment horizontal="center" vertical="center"/>
    </xf>
    <xf numFmtId="167" fontId="3" fillId="0" borderId="1" xfId="0" applyNumberFormat="1" applyFont="1" applyBorder="1" applyAlignment="1">
      <alignment horizontal="center" vertical="center"/>
    </xf>
    <xf numFmtId="9" fontId="3" fillId="0" borderId="1" xfId="1" applyFont="1" applyFill="1" applyBorder="1" applyAlignment="1">
      <alignment horizontal="center" vertical="center"/>
    </xf>
    <xf numFmtId="10" fontId="3" fillId="12" borderId="1" xfId="1" applyNumberFormat="1" applyFont="1" applyFill="1" applyBorder="1" applyAlignment="1">
      <alignment horizontal="center" vertical="center"/>
    </xf>
    <xf numFmtId="167" fontId="3" fillId="12" borderId="1" xfId="0" applyNumberFormat="1" applyFont="1" applyFill="1" applyBorder="1" applyAlignment="1">
      <alignment horizontal="center" vertical="center"/>
    </xf>
    <xf numFmtId="10" fontId="3" fillId="12" borderId="26" xfId="1" applyNumberFormat="1" applyFont="1" applyFill="1" applyBorder="1" applyAlignment="1">
      <alignment horizontal="center" vertical="center"/>
    </xf>
    <xf numFmtId="167" fontId="3" fillId="12" borderId="26" xfId="0" applyNumberFormat="1" applyFont="1" applyFill="1" applyBorder="1" applyAlignment="1">
      <alignment horizontal="center" vertical="center"/>
    </xf>
    <xf numFmtId="0" fontId="3" fillId="2" borderId="1" xfId="0" applyFont="1" applyFill="1" applyBorder="1" applyAlignment="1">
      <alignment vertical="center" wrapText="1"/>
    </xf>
    <xf numFmtId="0" fontId="34" fillId="6" borderId="0" xfId="0" applyFont="1" applyFill="1"/>
    <xf numFmtId="0" fontId="61" fillId="6" borderId="0" xfId="0" applyFont="1" applyFill="1"/>
    <xf numFmtId="0" fontId="34" fillId="6" borderId="0" xfId="0" applyFont="1" applyFill="1" applyAlignment="1">
      <alignment vertical="top"/>
    </xf>
    <xf numFmtId="15" fontId="34" fillId="6" borderId="0" xfId="0" applyNumberFormat="1" applyFont="1" applyFill="1" applyAlignment="1">
      <alignment vertical="center"/>
    </xf>
    <xf numFmtId="3" fontId="2" fillId="2" borderId="50" xfId="0" applyNumberFormat="1" applyFont="1" applyFill="1" applyBorder="1" applyAlignment="1">
      <alignment vertical="center"/>
    </xf>
    <xf numFmtId="3" fontId="2" fillId="2" borderId="9" xfId="0" applyNumberFormat="1" applyFont="1" applyFill="1" applyBorder="1" applyAlignment="1">
      <alignment vertical="center"/>
    </xf>
    <xf numFmtId="2" fontId="3" fillId="2" borderId="13" xfId="0" applyNumberFormat="1" applyFont="1" applyFill="1" applyBorder="1" applyAlignment="1">
      <alignment horizontal="center" vertical="center"/>
    </xf>
    <xf numFmtId="164" fontId="6" fillId="6" borderId="0" xfId="0" applyNumberFormat="1" applyFont="1" applyFill="1"/>
    <xf numFmtId="0" fontId="0" fillId="2" borderId="1" xfId="0" applyFill="1" applyBorder="1"/>
    <xf numFmtId="166" fontId="18" fillId="0" borderId="0" xfId="1" applyNumberFormat="1" applyFont="1" applyFill="1" applyAlignment="1" applyProtection="1">
      <alignment horizontal="right" vertical="center"/>
    </xf>
    <xf numFmtId="0" fontId="16" fillId="0" borderId="0" xfId="0" applyFont="1" applyAlignment="1">
      <alignment horizontal="left" vertical="center"/>
    </xf>
    <xf numFmtId="0" fontId="18" fillId="0" borderId="0" xfId="0" applyFont="1" applyAlignment="1">
      <alignment horizontal="right" vertical="center"/>
    </xf>
    <xf numFmtId="0" fontId="62" fillId="6" borderId="0" xfId="0" applyFont="1" applyFill="1" applyProtection="1">
      <protection locked="0"/>
    </xf>
    <xf numFmtId="0" fontId="26" fillId="7" borderId="17" xfId="0" applyFont="1" applyFill="1" applyBorder="1" applyAlignment="1">
      <alignment horizontal="center" vertical="center"/>
    </xf>
    <xf numFmtId="0" fontId="6" fillId="0" borderId="0" xfId="0" applyFont="1"/>
    <xf numFmtId="0" fontId="3" fillId="5" borderId="9"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8" xfId="0" applyFont="1" applyFill="1" applyBorder="1" applyAlignment="1">
      <alignment horizontal="center" vertical="center"/>
    </xf>
    <xf numFmtId="3" fontId="0" fillId="0" borderId="0" xfId="0" applyNumberFormat="1" applyAlignment="1">
      <alignment vertical="center"/>
    </xf>
    <xf numFmtId="0" fontId="64" fillId="0" borderId="1" xfId="0" applyFont="1" applyBorder="1"/>
    <xf numFmtId="0" fontId="2" fillId="0" borderId="1" xfId="0" applyFont="1" applyBorder="1" applyAlignment="1">
      <alignment vertical="center"/>
    </xf>
    <xf numFmtId="0" fontId="2" fillId="0" borderId="1" xfId="0" applyFont="1" applyBorder="1" applyAlignment="1">
      <alignment horizontal="center" vertical="center"/>
    </xf>
    <xf numFmtId="0" fontId="6" fillId="3" borderId="1" xfId="0" applyFont="1" applyFill="1" applyBorder="1" applyAlignment="1">
      <alignment vertical="center"/>
    </xf>
    <xf numFmtId="0" fontId="2" fillId="3" borderId="1" xfId="0" applyFont="1" applyFill="1" applyBorder="1" applyAlignment="1">
      <alignment vertical="center"/>
    </xf>
    <xf numFmtId="0" fontId="6" fillId="3" borderId="1" xfId="0" applyFont="1" applyFill="1" applyBorder="1" applyAlignment="1">
      <alignment horizontal="center" vertical="center"/>
    </xf>
    <xf numFmtId="177" fontId="6" fillId="0" borderId="0" xfId="0" applyNumberFormat="1" applyFont="1" applyAlignment="1">
      <alignment horizontal="center" vertical="center"/>
    </xf>
    <xf numFmtId="167" fontId="2" fillId="2" borderId="1" xfId="0" applyNumberFormat="1" applyFont="1" applyFill="1" applyBorder="1" applyAlignment="1">
      <alignment horizontal="center" vertical="center"/>
    </xf>
    <xf numFmtId="167" fontId="2" fillId="2" borderId="13" xfId="0" applyNumberFormat="1" applyFont="1" applyFill="1" applyBorder="1" applyAlignment="1">
      <alignment horizontal="center" vertical="center"/>
    </xf>
    <xf numFmtId="167" fontId="2" fillId="0" borderId="13" xfId="0" applyNumberFormat="1" applyFont="1" applyBorder="1" applyAlignment="1">
      <alignment horizontal="center" vertical="center"/>
    </xf>
    <xf numFmtId="167" fontId="2" fillId="2" borderId="11" xfId="0" applyNumberFormat="1" applyFont="1" applyFill="1" applyBorder="1" applyAlignment="1">
      <alignment horizontal="center" vertical="center"/>
    </xf>
    <xf numFmtId="167" fontId="2" fillId="2" borderId="15" xfId="0" applyNumberFormat="1" applyFont="1" applyFill="1" applyBorder="1" applyAlignment="1">
      <alignment horizontal="center" vertical="center"/>
    </xf>
    <xf numFmtId="167" fontId="3" fillId="2" borderId="1" xfId="0" applyNumberFormat="1" applyFont="1" applyFill="1" applyBorder="1" applyAlignment="1">
      <alignment horizontal="center" vertical="center"/>
    </xf>
    <xf numFmtId="167" fontId="3" fillId="2" borderId="27" xfId="0" applyNumberFormat="1" applyFont="1" applyFill="1" applyBorder="1" applyAlignment="1">
      <alignment horizontal="center" vertical="center"/>
    </xf>
    <xf numFmtId="175" fontId="2" fillId="6" borderId="0" xfId="0" applyNumberFormat="1" applyFont="1" applyFill="1"/>
    <xf numFmtId="0" fontId="18" fillId="0" borderId="19" xfId="0" applyFont="1" applyBorder="1" applyAlignment="1">
      <alignment vertical="center"/>
    </xf>
    <xf numFmtId="0" fontId="64" fillId="2" borderId="1" xfId="0" applyFont="1" applyFill="1" applyBorder="1"/>
    <xf numFmtId="0" fontId="6" fillId="3" borderId="5" xfId="0" applyFont="1" applyFill="1" applyBorder="1" applyAlignment="1">
      <alignment vertical="center"/>
    </xf>
    <xf numFmtId="0" fontId="6" fillId="3" borderId="5" xfId="0" applyFont="1" applyFill="1" applyBorder="1" applyAlignment="1">
      <alignment horizontal="center" vertical="center"/>
    </xf>
    <xf numFmtId="0" fontId="2" fillId="0" borderId="27" xfId="0" applyFont="1" applyBorder="1" applyAlignment="1">
      <alignment horizontal="center" vertical="center"/>
    </xf>
    <xf numFmtId="167" fontId="2" fillId="2" borderId="27" xfId="0" applyNumberFormat="1" applyFont="1" applyFill="1" applyBorder="1" applyAlignment="1">
      <alignment horizontal="center" vertical="center"/>
    </xf>
    <xf numFmtId="0" fontId="2" fillId="0" borderId="27" xfId="0" applyFont="1" applyBorder="1" applyAlignment="1">
      <alignment vertical="center"/>
    </xf>
    <xf numFmtId="167" fontId="2" fillId="0" borderId="15" xfId="0" applyNumberFormat="1"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2" fontId="2" fillId="0" borderId="5" xfId="0" applyNumberFormat="1" applyFont="1" applyBorder="1" applyAlignment="1">
      <alignment horizontal="center" vertical="center"/>
    </xf>
    <xf numFmtId="167" fontId="2" fillId="2" borderId="26" xfId="0" applyNumberFormat="1" applyFont="1" applyFill="1" applyBorder="1" applyAlignment="1">
      <alignment horizontal="center" vertical="center"/>
    </xf>
    <xf numFmtId="178" fontId="2" fillId="2" borderId="1" xfId="0" applyNumberFormat="1" applyFont="1" applyFill="1" applyBorder="1" applyAlignment="1">
      <alignment horizontal="center" vertical="center"/>
    </xf>
    <xf numFmtId="166" fontId="0" fillId="0" borderId="0" xfId="1" applyNumberFormat="1" applyFont="1"/>
    <xf numFmtId="0" fontId="2" fillId="2" borderId="26" xfId="0" applyFont="1" applyFill="1" applyBorder="1" applyAlignment="1">
      <alignment horizontal="center" vertical="center"/>
    </xf>
    <xf numFmtId="177" fontId="2" fillId="2" borderId="1" xfId="0" applyNumberFormat="1" applyFont="1" applyFill="1" applyBorder="1" applyAlignment="1">
      <alignment horizontal="center" vertical="center"/>
    </xf>
    <xf numFmtId="167" fontId="2" fillId="2" borderId="49" xfId="0" applyNumberFormat="1" applyFont="1" applyFill="1" applyBorder="1" applyAlignment="1">
      <alignment horizontal="center" vertical="center"/>
    </xf>
    <xf numFmtId="0" fontId="65" fillId="6" borderId="0" xfId="0" applyFont="1" applyFill="1"/>
    <xf numFmtId="0" fontId="2" fillId="11" borderId="1" xfId="0" applyFont="1" applyFill="1" applyBorder="1" applyAlignment="1">
      <alignment horizontal="center" vertical="center"/>
    </xf>
    <xf numFmtId="2" fontId="3" fillId="2" borderId="11" xfId="0" applyNumberFormat="1" applyFont="1" applyFill="1" applyBorder="1" applyAlignment="1">
      <alignment horizontal="center" vertical="center"/>
    </xf>
    <xf numFmtId="2" fontId="3" fillId="2" borderId="15" xfId="0" applyNumberFormat="1" applyFont="1" applyFill="1" applyBorder="1" applyAlignment="1">
      <alignment horizontal="center" vertical="center"/>
    </xf>
    <xf numFmtId="2" fontId="3" fillId="0" borderId="13" xfId="0" applyNumberFormat="1" applyFont="1" applyBorder="1" applyAlignment="1">
      <alignment horizontal="center" vertical="center"/>
    </xf>
    <xf numFmtId="0" fontId="3" fillId="5" borderId="53" xfId="0" applyFont="1" applyFill="1" applyBorder="1" applyAlignment="1">
      <alignment vertical="center"/>
    </xf>
    <xf numFmtId="0" fontId="6" fillId="6" borderId="0" xfId="0" applyFont="1" applyFill="1"/>
    <xf numFmtId="0" fontId="68" fillId="6" borderId="0" xfId="0" applyFont="1" applyFill="1"/>
    <xf numFmtId="4" fontId="31" fillId="2" borderId="0" xfId="1" applyNumberFormat="1" applyFont="1" applyFill="1" applyAlignment="1">
      <alignment horizontal="center"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14" xfId="0" applyFont="1" applyFill="1" applyBorder="1" applyAlignment="1">
      <alignment vertical="center"/>
    </xf>
    <xf numFmtId="0" fontId="2" fillId="2" borderId="1" xfId="0" applyFont="1" applyFill="1" applyBorder="1" applyAlignment="1">
      <alignment vertical="center"/>
    </xf>
    <xf numFmtId="14" fontId="2" fillId="5" borderId="5" xfId="0" applyNumberFormat="1" applyFont="1" applyFill="1" applyBorder="1" applyAlignment="1">
      <alignment horizontal="center" vertical="center"/>
    </xf>
    <xf numFmtId="1" fontId="2" fillId="5" borderId="9" xfId="0" applyNumberFormat="1" applyFont="1" applyFill="1" applyBorder="1" applyAlignment="1">
      <alignment horizontal="center" vertical="center"/>
    </xf>
    <xf numFmtId="0" fontId="18" fillId="0" borderId="21" xfId="0" applyFont="1" applyBorder="1" applyAlignment="1">
      <alignment horizontal="center" vertical="center"/>
    </xf>
    <xf numFmtId="0" fontId="14" fillId="7" borderId="0" xfId="0" applyFont="1" applyFill="1" applyAlignment="1">
      <alignment horizontal="center" vertical="center" textRotation="90"/>
    </xf>
    <xf numFmtId="0" fontId="16" fillId="6" borderId="0" xfId="0" applyFont="1" applyFill="1" applyAlignment="1">
      <alignment horizontal="right" wrapText="1"/>
    </xf>
    <xf numFmtId="0" fontId="33" fillId="0" borderId="0" xfId="0" applyFont="1" applyAlignment="1">
      <alignment horizontal="left" vertical="top" wrapText="1"/>
    </xf>
    <xf numFmtId="0" fontId="33" fillId="0" borderId="38" xfId="0" applyFont="1" applyBorder="1" applyAlignment="1">
      <alignment horizontal="left" vertical="top" wrapText="1"/>
    </xf>
    <xf numFmtId="0" fontId="23" fillId="0" borderId="0" xfId="0" applyFont="1" applyAlignment="1">
      <alignment horizontal="left" vertical="top" wrapText="1"/>
    </xf>
    <xf numFmtId="0" fontId="17" fillId="0" borderId="0" xfId="0" applyFont="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0" xfId="0" applyFont="1" applyAlignment="1">
      <alignment horizontal="left" vertical="center" wrapText="1"/>
    </xf>
    <xf numFmtId="0" fontId="16" fillId="0" borderId="38" xfId="0" applyFont="1" applyBorder="1" applyAlignment="1">
      <alignment horizontal="left" vertical="center" wrapText="1"/>
    </xf>
    <xf numFmtId="0" fontId="33" fillId="0" borderId="21" xfId="0" applyFont="1" applyBorder="1" applyAlignment="1" applyProtection="1">
      <alignment horizontal="left" vertical="center"/>
      <protection locked="0"/>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38" fillId="0" borderId="0" xfId="0" applyFont="1" applyAlignment="1">
      <alignment horizontal="left" wrapText="1"/>
    </xf>
    <xf numFmtId="1" fontId="33" fillId="0" borderId="0" xfId="0" applyNumberFormat="1" applyFont="1" applyAlignment="1" applyProtection="1">
      <alignment horizontal="left" vertical="center"/>
      <protection locked="0"/>
    </xf>
    <xf numFmtId="0" fontId="33" fillId="0" borderId="21" xfId="0" applyFont="1" applyBorder="1" applyAlignment="1">
      <alignment horizontal="left" vertical="center"/>
    </xf>
    <xf numFmtId="0" fontId="16" fillId="3" borderId="33"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40" xfId="0" applyFont="1" applyFill="1" applyBorder="1" applyAlignment="1">
      <alignment horizontal="center" vertical="center" wrapText="1"/>
    </xf>
    <xf numFmtId="173" fontId="66" fillId="3" borderId="41" xfId="0" applyNumberFormat="1" applyFont="1" applyFill="1" applyBorder="1" applyAlignment="1">
      <alignment horizontal="center" vertical="center"/>
    </xf>
    <xf numFmtId="173" fontId="67" fillId="3" borderId="20" xfId="0" applyNumberFormat="1" applyFont="1" applyFill="1" applyBorder="1" applyAlignment="1">
      <alignment horizontal="center" vertical="center"/>
    </xf>
    <xf numFmtId="173" fontId="67" fillId="3" borderId="44" xfId="0" applyNumberFormat="1" applyFont="1" applyFill="1" applyBorder="1" applyAlignment="1">
      <alignment horizontal="center" vertical="center"/>
    </xf>
    <xf numFmtId="173" fontId="33" fillId="0" borderId="41" xfId="0" applyNumberFormat="1" applyFont="1" applyBorder="1" applyAlignment="1">
      <alignment horizontal="right" vertical="center" indent="1"/>
    </xf>
    <xf numFmtId="173" fontId="33" fillId="0" borderId="44" xfId="0" applyNumberFormat="1" applyFont="1" applyBorder="1" applyAlignment="1">
      <alignment horizontal="right" vertical="center" inden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47" fillId="8" borderId="18" xfId="0" applyFont="1" applyFill="1" applyBorder="1" applyAlignment="1">
      <alignment horizontal="center" vertical="center"/>
    </xf>
    <xf numFmtId="0" fontId="47" fillId="8" borderId="17" xfId="0" applyFont="1" applyFill="1" applyBorder="1" applyAlignment="1">
      <alignment horizontal="center" vertical="center"/>
    </xf>
    <xf numFmtId="0" fontId="16" fillId="0" borderId="0" xfId="0" applyFont="1" applyAlignment="1">
      <alignment horizontal="left" vertical="top" wrapText="1"/>
    </xf>
    <xf numFmtId="0" fontId="16" fillId="0" borderId="38" xfId="0" applyFont="1" applyBorder="1" applyAlignment="1">
      <alignment horizontal="left" vertical="top" wrapText="1"/>
    </xf>
    <xf numFmtId="0" fontId="16" fillId="0" borderId="0" xfId="0" applyFont="1" applyAlignment="1">
      <alignment horizontal="left" vertical="center"/>
    </xf>
    <xf numFmtId="0" fontId="16" fillId="0" borderId="20" xfId="0" applyFont="1" applyBorder="1" applyAlignment="1">
      <alignment horizontal="left" vertical="center"/>
    </xf>
    <xf numFmtId="0" fontId="16" fillId="0" borderId="44" xfId="0" applyFont="1" applyBorder="1" applyAlignment="1">
      <alignment horizontal="left" vertical="center"/>
    </xf>
    <xf numFmtId="0" fontId="16" fillId="0" borderId="41" xfId="0" applyFont="1" applyBorder="1" applyAlignment="1">
      <alignment horizontal="center" vertical="center"/>
    </xf>
    <xf numFmtId="0" fontId="16" fillId="0" borderId="20" xfId="0" applyFont="1" applyBorder="1" applyAlignment="1">
      <alignment horizontal="center" vertical="center"/>
    </xf>
    <xf numFmtId="0" fontId="16" fillId="0" borderId="44" xfId="0" applyFont="1" applyBorder="1" applyAlignment="1">
      <alignment horizontal="center" vertical="center"/>
    </xf>
    <xf numFmtId="0" fontId="16" fillId="0" borderId="0" xfId="0" applyFont="1" applyAlignment="1">
      <alignment horizontal="center" vertical="center"/>
    </xf>
    <xf numFmtId="173" fontId="66" fillId="3" borderId="20" xfId="0" applyNumberFormat="1" applyFont="1" applyFill="1" applyBorder="1" applyAlignment="1">
      <alignment horizontal="center" vertical="center"/>
    </xf>
    <xf numFmtId="173" fontId="66" fillId="3" borderId="44" xfId="0" applyNumberFormat="1" applyFont="1" applyFill="1" applyBorder="1" applyAlignment="1">
      <alignment horizontal="center" vertical="center"/>
    </xf>
    <xf numFmtId="0" fontId="50" fillId="0" borderId="32" xfId="0" applyFont="1" applyBorder="1" applyAlignment="1">
      <alignment horizontal="left" vertical="center" wrapText="1"/>
    </xf>
    <xf numFmtId="0" fontId="28" fillId="0" borderId="20" xfId="0" applyFont="1" applyBorder="1" applyAlignment="1">
      <alignment horizontal="left" vertical="center"/>
    </xf>
    <xf numFmtId="0" fontId="16" fillId="0" borderId="41" xfId="0" applyFont="1" applyBorder="1" applyAlignment="1">
      <alignment horizontal="left" vertical="center"/>
    </xf>
    <xf numFmtId="0" fontId="16" fillId="0" borderId="32" xfId="0" applyFont="1" applyBorder="1" applyAlignment="1">
      <alignment horizontal="center" vertical="center"/>
    </xf>
    <xf numFmtId="0" fontId="16" fillId="0" borderId="4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3" xfId="0" applyFont="1" applyBorder="1" applyAlignment="1">
      <alignment horizontal="left" vertical="center"/>
    </xf>
    <xf numFmtId="0" fontId="16" fillId="0" borderId="32" xfId="0" applyFont="1" applyBorder="1" applyAlignment="1">
      <alignment horizontal="left" vertical="center"/>
    </xf>
    <xf numFmtId="0" fontId="16" fillId="0" borderId="45" xfId="0" applyFont="1" applyBorder="1" applyAlignment="1">
      <alignment horizontal="left" vertical="center"/>
    </xf>
    <xf numFmtId="0" fontId="16" fillId="0" borderId="39" xfId="0" applyFont="1" applyBorder="1" applyAlignment="1">
      <alignment horizontal="left" vertical="center"/>
    </xf>
    <xf numFmtId="0" fontId="16" fillId="0" borderId="21" xfId="0" applyFont="1" applyBorder="1" applyAlignment="1">
      <alignment horizontal="left" vertical="center"/>
    </xf>
    <xf numFmtId="0" fontId="16" fillId="0" borderId="40" xfId="0" applyFont="1" applyBorder="1" applyAlignment="1">
      <alignment horizontal="left" vertical="center"/>
    </xf>
    <xf numFmtId="0" fontId="18" fillId="0" borderId="0" xfId="0" applyFont="1" applyAlignment="1">
      <alignment horizontal="left" vertical="top" wrapText="1"/>
    </xf>
    <xf numFmtId="0" fontId="33" fillId="0" borderId="0" xfId="0" applyFont="1" applyAlignment="1">
      <alignment horizontal="left" vertical="center"/>
    </xf>
    <xf numFmtId="176" fontId="33" fillId="0" borderId="21" xfId="0" applyNumberFormat="1" applyFont="1" applyBorder="1" applyAlignment="1" applyProtection="1">
      <alignment horizontal="right" vertical="center"/>
      <protection locked="0"/>
    </xf>
    <xf numFmtId="0" fontId="50" fillId="0" borderId="0" xfId="0" applyFont="1" applyAlignment="1">
      <alignment horizontal="right" vertical="top" wrapText="1"/>
    </xf>
    <xf numFmtId="180" fontId="33" fillId="0" borderId="21" xfId="0" applyNumberFormat="1" applyFont="1" applyBorder="1" applyAlignment="1" applyProtection="1">
      <alignment horizontal="right" vertical="center"/>
      <protection locked="0"/>
    </xf>
    <xf numFmtId="0" fontId="33" fillId="0" borderId="0" xfId="0" applyFont="1" applyAlignment="1">
      <alignment horizontal="right" vertical="center"/>
    </xf>
    <xf numFmtId="167" fontId="33" fillId="0" borderId="21" xfId="0" applyNumberFormat="1" applyFont="1" applyBorder="1" applyAlignment="1" applyProtection="1">
      <alignment horizontal="right" vertical="center"/>
      <protection locked="0"/>
    </xf>
    <xf numFmtId="0" fontId="63" fillId="0" borderId="0" xfId="0" applyFont="1" applyAlignment="1">
      <alignment horizontal="right" vertical="center"/>
    </xf>
    <xf numFmtId="0" fontId="33" fillId="0" borderId="2" xfId="0" applyFont="1" applyBorder="1" applyAlignment="1">
      <alignment horizontal="left" vertical="center"/>
    </xf>
    <xf numFmtId="0" fontId="33" fillId="0" borderId="4" xfId="0" applyFont="1" applyBorder="1" applyAlignment="1">
      <alignment horizontal="left" vertical="center"/>
    </xf>
    <xf numFmtId="0" fontId="33" fillId="0" borderId="3" xfId="0" applyFont="1" applyBorder="1" applyAlignment="1">
      <alignment horizontal="left" vertical="center"/>
    </xf>
    <xf numFmtId="0" fontId="32" fillId="6" borderId="0" xfId="0" applyFont="1" applyFill="1" applyAlignment="1">
      <alignment horizontal="center"/>
    </xf>
    <xf numFmtId="171" fontId="18" fillId="0" borderId="20" xfId="0" applyNumberFormat="1" applyFont="1" applyBorder="1" applyAlignment="1">
      <alignment horizontal="right" vertical="center"/>
    </xf>
    <xf numFmtId="3" fontId="21" fillId="0" borderId="21" xfId="0" applyNumberFormat="1" applyFont="1" applyBorder="1" applyAlignment="1" applyProtection="1">
      <alignment horizontal="center" vertical="center"/>
      <protection locked="0"/>
    </xf>
    <xf numFmtId="3" fontId="21" fillId="0" borderId="20" xfId="0" applyNumberFormat="1" applyFont="1" applyBorder="1" applyAlignment="1" applyProtection="1">
      <alignment horizontal="center" vertical="center"/>
      <protection locked="0"/>
    </xf>
    <xf numFmtId="169" fontId="18" fillId="0" borderId="0" xfId="0" applyNumberFormat="1" applyFont="1" applyAlignment="1">
      <alignment horizontal="right" vertical="center" wrapText="1"/>
    </xf>
    <xf numFmtId="169" fontId="18" fillId="0" borderId="21" xfId="0" applyNumberFormat="1" applyFont="1" applyBorder="1" applyAlignment="1">
      <alignment horizontal="right" vertical="center" wrapText="1"/>
    </xf>
    <xf numFmtId="0" fontId="18" fillId="0" borderId="0" xfId="0" applyFont="1" applyAlignment="1">
      <alignment horizontal="center" vertical="center" wrapText="1"/>
    </xf>
    <xf numFmtId="0" fontId="18" fillId="0" borderId="21" xfId="0" applyFont="1" applyBorder="1" applyAlignment="1">
      <alignment horizontal="center" vertical="center" wrapText="1"/>
    </xf>
    <xf numFmtId="171" fontId="21" fillId="0" borderId="20" xfId="0" applyNumberFormat="1" applyFont="1" applyBorder="1" applyAlignment="1">
      <alignment horizontal="right" vertical="center" wrapText="1"/>
    </xf>
    <xf numFmtId="0" fontId="21" fillId="0" borderId="20" xfId="0" applyFont="1" applyBorder="1" applyAlignment="1">
      <alignment horizontal="right" vertical="center" wrapText="1"/>
    </xf>
    <xf numFmtId="0" fontId="18" fillId="0" borderId="20" xfId="0" applyFont="1" applyBorder="1" applyAlignment="1">
      <alignment horizontal="left" vertical="center"/>
    </xf>
    <xf numFmtId="0" fontId="17" fillId="0" borderId="0" xfId="0" applyFont="1" applyAlignment="1">
      <alignment horizontal="left" vertical="center"/>
    </xf>
    <xf numFmtId="0" fontId="17" fillId="0" borderId="21" xfId="0" applyFont="1" applyBorder="1" applyAlignment="1">
      <alignment horizontal="left" vertical="center"/>
    </xf>
    <xf numFmtId="0" fontId="18" fillId="0" borderId="21" xfId="0" applyFont="1" applyBorder="1" applyAlignment="1">
      <alignment horizontal="right" vertical="center" wrapText="1"/>
    </xf>
    <xf numFmtId="3" fontId="18" fillId="0" borderId="21" xfId="0" applyNumberFormat="1" applyFont="1" applyBorder="1" applyAlignment="1">
      <alignment horizontal="center" vertical="center"/>
    </xf>
    <xf numFmtId="171" fontId="18" fillId="0" borderId="21" xfId="0" applyNumberFormat="1" applyFont="1" applyBorder="1" applyAlignment="1">
      <alignment horizontal="right" vertical="center"/>
    </xf>
    <xf numFmtId="0" fontId="18" fillId="0" borderId="21" xfId="0" applyFont="1" applyBorder="1" applyAlignment="1">
      <alignment horizontal="left" vertical="center"/>
    </xf>
    <xf numFmtId="170" fontId="18" fillId="0" borderId="21" xfId="0" applyNumberFormat="1" applyFont="1" applyBorder="1" applyAlignment="1">
      <alignment horizontal="right" vertical="center"/>
    </xf>
    <xf numFmtId="0" fontId="21" fillId="0" borderId="21"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57" fillId="0" borderId="32" xfId="0" applyFont="1" applyBorder="1" applyAlignment="1">
      <alignment horizontal="left" vertical="top" wrapText="1"/>
    </xf>
    <xf numFmtId="0" fontId="17" fillId="0" borderId="0" xfId="0" applyFont="1" applyAlignment="1">
      <alignment horizontal="left" vertical="top"/>
    </xf>
    <xf numFmtId="0" fontId="21" fillId="0" borderId="21" xfId="0" applyFont="1" applyBorder="1" applyAlignment="1">
      <alignment horizontal="left" wrapText="1"/>
    </xf>
    <xf numFmtId="168" fontId="21" fillId="0" borderId="0" xfId="0" applyNumberFormat="1" applyFont="1" applyAlignment="1" applyProtection="1">
      <alignment horizontal="center" vertical="center"/>
      <protection locked="0"/>
    </xf>
    <xf numFmtId="3" fontId="18" fillId="0" borderId="21" xfId="0" quotePrefix="1" applyNumberFormat="1" applyFont="1" applyBorder="1" applyAlignment="1">
      <alignment horizontal="center" vertical="center"/>
    </xf>
    <xf numFmtId="167" fontId="18" fillId="0" borderId="20" xfId="0" applyNumberFormat="1" applyFont="1" applyBorder="1" applyAlignment="1">
      <alignment horizontal="center" vertical="center"/>
    </xf>
    <xf numFmtId="167" fontId="18" fillId="0" borderId="30" xfId="0" quotePrefix="1" applyNumberFormat="1" applyFont="1" applyBorder="1" applyAlignment="1">
      <alignment horizontal="center" vertical="center"/>
    </xf>
    <xf numFmtId="167" fontId="21" fillId="0" borderId="21" xfId="0" applyNumberFormat="1" applyFont="1" applyBorder="1" applyAlignment="1">
      <alignment horizontal="center" vertical="center"/>
    </xf>
    <xf numFmtId="167" fontId="18" fillId="0" borderId="30" xfId="0" applyNumberFormat="1" applyFont="1" applyBorder="1" applyAlignment="1">
      <alignment horizontal="center" vertical="center"/>
    </xf>
    <xf numFmtId="168" fontId="18" fillId="0" borderId="20" xfId="0" applyNumberFormat="1" applyFont="1" applyBorder="1" applyAlignment="1">
      <alignment horizontal="center" vertical="center"/>
    </xf>
    <xf numFmtId="0" fontId="18" fillId="0" borderId="19" xfId="0" applyFont="1" applyBorder="1" applyAlignment="1">
      <alignment horizontal="center" vertical="center"/>
    </xf>
    <xf numFmtId="10" fontId="18" fillId="0" borderId="30" xfId="1" applyNumberFormat="1" applyFont="1" applyFill="1" applyBorder="1" applyAlignment="1" applyProtection="1">
      <alignment horizontal="center" vertical="center"/>
    </xf>
    <xf numFmtId="1" fontId="18" fillId="0" borderId="30" xfId="0" applyNumberFormat="1" applyFont="1" applyBorder="1" applyAlignment="1">
      <alignment horizontal="center" vertical="center"/>
    </xf>
    <xf numFmtId="167" fontId="21" fillId="0" borderId="20" xfId="0" applyNumberFormat="1" applyFont="1" applyBorder="1" applyAlignment="1" applyProtection="1">
      <alignment horizontal="center" vertical="center"/>
      <protection locked="0"/>
    </xf>
    <xf numFmtId="0" fontId="18" fillId="0" borderId="0" xfId="0" applyFont="1" applyAlignment="1">
      <alignment horizontal="center" vertical="center"/>
    </xf>
    <xf numFmtId="0" fontId="21" fillId="0" borderId="19" xfId="0" applyFont="1" applyBorder="1" applyAlignment="1">
      <alignment horizontal="left" vertical="center"/>
    </xf>
    <xf numFmtId="174" fontId="21" fillId="0" borderId="20" xfId="0" applyNumberFormat="1" applyFont="1" applyBorder="1" applyAlignment="1">
      <alignment horizontal="right" vertical="center" indent="1"/>
    </xf>
    <xf numFmtId="0" fontId="18" fillId="0" borderId="19" xfId="0" applyFont="1" applyBorder="1" applyAlignment="1">
      <alignment horizontal="center" vertical="center" wrapText="1"/>
    </xf>
    <xf numFmtId="179" fontId="21" fillId="0" borderId="30" xfId="0" applyNumberFormat="1" applyFont="1" applyBorder="1" applyAlignment="1">
      <alignment horizontal="right" vertical="center" indent="1"/>
    </xf>
    <xf numFmtId="174" fontId="21" fillId="0" borderId="29" xfId="0" applyNumberFormat="1" applyFont="1" applyBorder="1" applyAlignment="1">
      <alignment horizontal="right" vertical="center" indent="1"/>
    </xf>
    <xf numFmtId="179" fontId="21" fillId="0" borderId="20" xfId="0" applyNumberFormat="1" applyFont="1" applyBorder="1" applyAlignment="1">
      <alignment horizontal="right" vertical="center" indent="1"/>
    </xf>
    <xf numFmtId="0" fontId="18" fillId="0" borderId="20" xfId="0" applyFont="1" applyBorder="1" applyAlignment="1">
      <alignment horizontal="center" vertical="center"/>
    </xf>
    <xf numFmtId="10" fontId="18" fillId="0" borderId="20" xfId="1" applyNumberFormat="1" applyFont="1" applyFill="1" applyBorder="1" applyAlignment="1" applyProtection="1">
      <alignment horizontal="center" vertical="center"/>
    </xf>
    <xf numFmtId="3" fontId="18" fillId="0" borderId="20" xfId="0" applyNumberFormat="1" applyFont="1" applyBorder="1" applyAlignment="1">
      <alignment horizontal="center" vertical="center"/>
    </xf>
    <xf numFmtId="3" fontId="18" fillId="0" borderId="20" xfId="0" quotePrefix="1" applyNumberFormat="1" applyFont="1" applyBorder="1" applyAlignment="1">
      <alignment horizontal="center" vertical="center"/>
    </xf>
    <xf numFmtId="168" fontId="18" fillId="0" borderId="29" xfId="0" applyNumberFormat="1" applyFont="1" applyBorder="1" applyAlignment="1">
      <alignment horizontal="center" vertical="center"/>
    </xf>
    <xf numFmtId="2" fontId="18" fillId="0" borderId="20" xfId="0" applyNumberFormat="1" applyFont="1" applyBorder="1" applyAlignment="1">
      <alignment horizontal="center" vertical="center"/>
    </xf>
    <xf numFmtId="2" fontId="21" fillId="0" borderId="20" xfId="0" applyNumberFormat="1" applyFont="1" applyBorder="1" applyAlignment="1">
      <alignment horizontal="center" vertical="center"/>
    </xf>
    <xf numFmtId="0" fontId="21" fillId="0" borderId="0" xfId="0" applyFont="1" applyAlignment="1">
      <alignment horizontal="left" vertical="top" wrapText="1"/>
    </xf>
    <xf numFmtId="0" fontId="57" fillId="0" borderId="0" xfId="0" applyFont="1" applyAlignment="1">
      <alignment horizontal="left" vertical="top" wrapText="1"/>
    </xf>
    <xf numFmtId="2" fontId="18" fillId="0" borderId="30" xfId="0" quotePrefix="1" applyNumberFormat="1" applyFont="1" applyBorder="1" applyAlignment="1">
      <alignment horizontal="center" vertical="center"/>
    </xf>
    <xf numFmtId="0" fontId="18" fillId="0" borderId="30" xfId="0" applyFont="1" applyBorder="1" applyAlignment="1">
      <alignment horizontal="left" vertical="center"/>
    </xf>
    <xf numFmtId="4" fontId="18" fillId="0" borderId="20" xfId="0" applyNumberFormat="1" applyFont="1" applyBorder="1" applyAlignment="1">
      <alignment horizontal="center" vertical="center"/>
    </xf>
    <xf numFmtId="4" fontId="18" fillId="0" borderId="0" xfId="0" quotePrefix="1" applyNumberFormat="1" applyFont="1" applyAlignment="1" applyProtection="1">
      <alignment horizontal="center" vertical="center"/>
      <protection locked="0"/>
    </xf>
    <xf numFmtId="2" fontId="21" fillId="0" borderId="21" xfId="0" applyNumberFormat="1" applyFont="1" applyBorder="1" applyAlignment="1">
      <alignment horizontal="center" vertical="center"/>
    </xf>
    <xf numFmtId="3" fontId="18" fillId="0" borderId="0" xfId="0" applyNumberFormat="1" applyFont="1" applyAlignment="1" applyProtection="1">
      <alignment horizontal="center" vertical="center"/>
      <protection locked="0"/>
    </xf>
    <xf numFmtId="4" fontId="18" fillId="0" borderId="30" xfId="0" quotePrefix="1" applyNumberFormat="1" applyFont="1" applyBorder="1" applyAlignment="1">
      <alignment horizontal="center" vertical="center"/>
    </xf>
    <xf numFmtId="0" fontId="6" fillId="0" borderId="1"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12" borderId="5" xfId="0" applyFont="1" applyFill="1" applyBorder="1" applyAlignment="1">
      <alignment horizontal="left" vertical="center"/>
    </xf>
    <xf numFmtId="0" fontId="2" fillId="4" borderId="1" xfId="0" applyFont="1" applyFill="1" applyBorder="1" applyAlignment="1">
      <alignment horizontal="left" vertical="center"/>
    </xf>
    <xf numFmtId="0" fontId="2" fillId="2" borderId="1" xfId="0" applyFont="1" applyFill="1" applyBorder="1" applyAlignment="1">
      <alignment horizontal="left" vertical="center"/>
    </xf>
    <xf numFmtId="0" fontId="2" fillId="5"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43" fillId="3" borderId="7" xfId="0" applyFont="1" applyFill="1" applyBorder="1" applyAlignment="1">
      <alignment horizontal="left" vertical="center"/>
    </xf>
    <xf numFmtId="0" fontId="43" fillId="3" borderId="25" xfId="0" applyFont="1" applyFill="1" applyBorder="1" applyAlignment="1">
      <alignment horizontal="left" vertical="center"/>
    </xf>
    <xf numFmtId="0" fontId="43" fillId="3" borderId="8" xfId="0" applyFont="1" applyFill="1" applyBorder="1" applyAlignment="1">
      <alignment horizontal="left" vertical="center"/>
    </xf>
    <xf numFmtId="0" fontId="2" fillId="3" borderId="7" xfId="0" applyFont="1" applyFill="1" applyBorder="1" applyAlignment="1">
      <alignment horizontal="left"/>
    </xf>
    <xf numFmtId="0" fontId="2" fillId="3" borderId="25" xfId="0" applyFont="1" applyFill="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cellXfs>
  <cellStyles count="2">
    <cellStyle name="Prozent" xfId="1" builtinId="5"/>
    <cellStyle name="Standard" xfId="0" builtinId="0"/>
  </cellStyles>
  <dxfs count="117">
    <dxf>
      <border>
        <top style="hair">
          <color rgb="FF2D4656"/>
        </top>
        <bottom style="hair">
          <color rgb="FF2D4656"/>
        </bottom>
        <vertical/>
        <horizontal/>
      </border>
    </dxf>
    <dxf>
      <font>
        <b/>
        <i val="0"/>
      </font>
      <fill>
        <patternFill>
          <bgColor theme="9"/>
        </patternFill>
      </fill>
      <border>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C00000"/>
        </patternFill>
      </fill>
    </dxf>
    <dxf>
      <border>
        <bottom style="thin">
          <color rgb="FF2D4656"/>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C00000"/>
        </patternFill>
      </fill>
      <border>
        <left style="thin">
          <color theme="0"/>
        </left>
        <right style="thin">
          <color theme="0"/>
        </right>
        <top style="thin">
          <color theme="0"/>
        </top>
        <bottom style="thin">
          <color theme="0"/>
        </bottom>
        <vertical/>
        <horizontal/>
      </border>
    </dxf>
    <dxf>
      <fill>
        <patternFill>
          <bgColor theme="9"/>
        </patternFill>
      </fill>
      <border>
        <vertical/>
        <horizontal/>
      </border>
    </dxf>
    <dxf>
      <fill>
        <patternFill>
          <bgColor theme="9"/>
        </patternFill>
      </fill>
    </dxf>
    <dxf>
      <font>
        <b/>
        <i val="0"/>
        <color theme="0"/>
      </font>
      <fill>
        <patternFill>
          <bgColor rgb="FFC00000"/>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color auto="1"/>
      </font>
      <border>
        <bottom style="thin">
          <color rgb="FF2D4656"/>
        </bottom>
        <vertical/>
        <horizontal/>
      </border>
    </dxf>
    <dxf>
      <fill>
        <patternFill>
          <bgColor theme="9"/>
        </patternFill>
      </fill>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C00000"/>
        </patternFill>
      </fill>
      <border>
        <left style="thin">
          <color theme="0"/>
        </left>
        <right style="thin">
          <color theme="0"/>
        </right>
        <top style="thin">
          <color theme="0"/>
        </top>
        <bottom style="thin">
          <color theme="0"/>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ill>
        <patternFill>
          <bgColor theme="0" tint="-0.14996795556505021"/>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vertical/>
        <horizontal/>
      </border>
    </dxf>
    <dxf>
      <border>
        <bottom style="hair">
          <color rgb="FF2D4656"/>
        </bottom>
        <vertical/>
        <horizontal/>
      </border>
    </dxf>
    <dxf>
      <font>
        <b/>
        <i val="0"/>
        <color theme="0"/>
      </font>
      <fill>
        <patternFill>
          <bgColor rgb="FFC00000"/>
        </patternFill>
      </fill>
      <border>
        <left style="thin">
          <color theme="0"/>
        </left>
        <right style="thin">
          <color theme="0"/>
        </right>
        <top style="thin">
          <color theme="0"/>
        </top>
        <bottom style="thin">
          <color theme="0"/>
        </bottom>
        <vertical/>
        <horizontal/>
      </border>
    </dxf>
    <dxf>
      <fill>
        <patternFill>
          <bgColor rgb="FFC00000"/>
        </patternFill>
      </fill>
      <border>
        <left/>
        <right/>
        <top/>
        <bottom/>
      </border>
    </dxf>
  </dxfs>
  <tableStyles count="0" defaultTableStyle="TableStyleMedium2" defaultPivotStyle="PivotStyleLight16"/>
  <colors>
    <mruColors>
      <color rgb="FFBBC3C9"/>
      <color rgb="FF2D4656"/>
      <color rgb="FF82919C"/>
      <color rgb="FF70AD47"/>
      <color rgb="FFF2DC96"/>
      <color rgb="FFA7C1D1"/>
      <color rgb="FFE3B21C"/>
      <color rgb="FFF2DAAC"/>
      <color rgb="FFB616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0670016750419E-2"/>
          <c:y val="0.23419410641851587"/>
          <c:w val="0.97319932998324954"/>
          <c:h val="0.74644595561918414"/>
        </c:manualLayout>
      </c:layout>
      <c:barChart>
        <c:barDir val="bar"/>
        <c:grouping val="stacked"/>
        <c:varyColors val="0"/>
        <c:ser>
          <c:idx val="0"/>
          <c:order val="0"/>
          <c:tx>
            <c:strRef>
              <c:f>Tabellen!$AW$4</c:f>
              <c:strCache>
                <c:ptCount val="1"/>
                <c:pt idx="0">
                  <c:v>Investitionskosten</c:v>
                </c:pt>
              </c:strCache>
            </c:strRef>
          </c:tx>
          <c:spPr>
            <a:solidFill>
              <a:srgbClr val="C00000"/>
            </a:solidFill>
            <a:ln>
              <a:solidFill>
                <a:srgbClr val="C00000"/>
              </a:solidFill>
            </a:ln>
            <a:effectLst/>
          </c:spPr>
          <c:invertIfNegative val="0"/>
          <c:cat>
            <c:strRef>
              <c:f>Tabellen!$AV$5:$AV$10</c:f>
              <c:strCache>
                <c:ptCount val="6"/>
                <c:pt idx="0">
                  <c:v>1 | Bitte wählen…</c:v>
                </c:pt>
                <c:pt idx="1">
                  <c:v>2 | Pelletsanlage</c:v>
                </c:pt>
                <c:pt idx="2">
                  <c:v>3 | Nah- /Fernwärme (ern.)</c:v>
                </c:pt>
                <c:pt idx="3">
                  <c:v>4 | Wärmepumpe (Luft)</c:v>
                </c:pt>
                <c:pt idx="4">
                  <c:v>5 | Wärmepumpe (Wasser)</c:v>
                </c:pt>
                <c:pt idx="5">
                  <c:v>6 | Wärmepumpe (Sole)</c:v>
                </c:pt>
              </c:strCache>
            </c:strRef>
          </c:cat>
          <c:val>
            <c:numRef>
              <c:f>Tabellen!$AW$5:$AW$10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A80-4099-8441-ABCCDDFB3EE9}"/>
            </c:ext>
          </c:extLst>
        </c:ser>
        <c:ser>
          <c:idx val="1"/>
          <c:order val="1"/>
          <c:tx>
            <c:strRef>
              <c:f>Tabellen!$AX$4</c:f>
              <c:strCache>
                <c:ptCount val="1"/>
                <c:pt idx="0">
                  <c:v>Betriebskosten</c:v>
                </c:pt>
              </c:strCache>
            </c:strRef>
          </c:tx>
          <c:spPr>
            <a:solidFill>
              <a:schemeClr val="accent4"/>
            </a:solidFill>
            <a:ln>
              <a:solidFill>
                <a:schemeClr val="accent4"/>
              </a:solidFill>
            </a:ln>
            <a:effectLst/>
          </c:spPr>
          <c:invertIfNegative val="0"/>
          <c:cat>
            <c:strRef>
              <c:f>Tabellen!$AV$5:$AV$10</c:f>
              <c:strCache>
                <c:ptCount val="6"/>
                <c:pt idx="0">
                  <c:v>1 | Bitte wählen…</c:v>
                </c:pt>
                <c:pt idx="1">
                  <c:v>2 | Pelletsanlage</c:v>
                </c:pt>
                <c:pt idx="2">
                  <c:v>3 | Nah- /Fernwärme (ern.)</c:v>
                </c:pt>
                <c:pt idx="3">
                  <c:v>4 | Wärmepumpe (Luft)</c:v>
                </c:pt>
                <c:pt idx="4">
                  <c:v>5 | Wärmepumpe (Wasser)</c:v>
                </c:pt>
                <c:pt idx="5">
                  <c:v>6 | Wärmepumpe (Sole)</c:v>
                </c:pt>
              </c:strCache>
            </c:strRef>
          </c:cat>
          <c:val>
            <c:numRef>
              <c:f>Tabellen!$AX$5:$AX$10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A80-4099-8441-ABCCDDFB3EE9}"/>
            </c:ext>
          </c:extLst>
        </c:ser>
        <c:ser>
          <c:idx val="2"/>
          <c:order val="2"/>
          <c:tx>
            <c:strRef>
              <c:f>Tabellen!$AY$4</c:f>
              <c:strCache>
                <c:ptCount val="1"/>
                <c:pt idx="0">
                  <c:v>Energiekosten</c:v>
                </c:pt>
              </c:strCache>
            </c:strRef>
          </c:tx>
          <c:spPr>
            <a:solidFill>
              <a:schemeClr val="accent6"/>
            </a:solidFill>
            <a:ln>
              <a:solidFill>
                <a:schemeClr val="accent6"/>
              </a:solidFill>
            </a:ln>
            <a:effectLst/>
          </c:spPr>
          <c:invertIfNegative val="0"/>
          <c:cat>
            <c:strRef>
              <c:f>Tabellen!$AV$5:$AV$10</c:f>
              <c:strCache>
                <c:ptCount val="6"/>
                <c:pt idx="0">
                  <c:v>1 | Bitte wählen…</c:v>
                </c:pt>
                <c:pt idx="1">
                  <c:v>2 | Pelletsanlage</c:v>
                </c:pt>
                <c:pt idx="2">
                  <c:v>3 | Nah- /Fernwärme (ern.)</c:v>
                </c:pt>
                <c:pt idx="3">
                  <c:v>4 | Wärmepumpe (Luft)</c:v>
                </c:pt>
                <c:pt idx="4">
                  <c:v>5 | Wärmepumpe (Wasser)</c:v>
                </c:pt>
                <c:pt idx="5">
                  <c:v>6 | Wärmepumpe (Sole)</c:v>
                </c:pt>
              </c:strCache>
            </c:strRef>
          </c:cat>
          <c:val>
            <c:numRef>
              <c:f>Tabellen!$AY$5:$AY$10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CA80-4099-8441-ABCCDDFB3EE9}"/>
            </c:ext>
          </c:extLst>
        </c:ser>
        <c:dLbls>
          <c:showLegendKey val="0"/>
          <c:showVal val="0"/>
          <c:showCatName val="0"/>
          <c:showSerName val="0"/>
          <c:showPercent val="0"/>
          <c:showBubbleSize val="0"/>
        </c:dLbls>
        <c:gapWidth val="75"/>
        <c:overlap val="100"/>
        <c:axId val="333465632"/>
        <c:axId val="333466808"/>
      </c:barChart>
      <c:catAx>
        <c:axId val="333465632"/>
        <c:scaling>
          <c:orientation val="maxMin"/>
        </c:scaling>
        <c:delete val="1"/>
        <c:axPos val="l"/>
        <c:numFmt formatCode="General" sourceLinked="1"/>
        <c:majorTickMark val="none"/>
        <c:minorTickMark val="none"/>
        <c:tickLblPos val="nextTo"/>
        <c:crossAx val="333466808"/>
        <c:crosses val="autoZero"/>
        <c:auto val="1"/>
        <c:lblAlgn val="ctr"/>
        <c:lblOffset val="100"/>
        <c:noMultiLvlLbl val="0"/>
      </c:catAx>
      <c:valAx>
        <c:axId val="33346680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346563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egendEntry>
        <c:idx val="1"/>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egendEntry>
        <c:idx val="2"/>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2.7693322254316182E-2"/>
          <c:y val="2.7777777777777776E-2"/>
          <c:w val="0.9723066777456838"/>
          <c:h val="0.1642355595678576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4" dropStyle="combo" dx="16" fmlaLink="EA_RH_System_Select" fmlaRange="EA_RH_System" noThreeD="1" sel="1" val="0"/>
</file>

<file path=xl/ctrlProps/ctrlProp10.xml><?xml version="1.0" encoding="utf-8"?>
<formControlPr xmlns="http://schemas.microsoft.com/office/spreadsheetml/2009/9/main" objectType="CheckBox" fmlaLink="Auswahl!$J$7" lockText="1" noThreeD="1"/>
</file>

<file path=xl/ctrlProps/ctrlProp11.xml><?xml version="1.0" encoding="utf-8"?>
<formControlPr xmlns="http://schemas.microsoft.com/office/spreadsheetml/2009/9/main" objectType="CheckBox" fmlaLink="Auswahl!$K$7" lockText="1" noThreeD="1"/>
</file>

<file path=xl/ctrlProps/ctrlProp12.xml><?xml version="1.0" encoding="utf-8"?>
<formControlPr xmlns="http://schemas.microsoft.com/office/spreadsheetml/2009/9/main" objectType="CheckBox" fmlaLink="Auswahl!$J$8" lockText="1" noThreeD="1"/>
</file>

<file path=xl/ctrlProps/ctrlProp13.xml><?xml version="1.0" encoding="utf-8"?>
<formControlPr xmlns="http://schemas.microsoft.com/office/spreadsheetml/2009/9/main" objectType="CheckBox" fmlaLink="Auswahl!$K$8" lockText="1" noThreeD="1"/>
</file>

<file path=xl/ctrlProps/ctrlProp14.xml><?xml version="1.0" encoding="utf-8"?>
<formControlPr xmlns="http://schemas.microsoft.com/office/spreadsheetml/2009/9/main" objectType="CheckBox" fmlaLink="Auswahl!$J$9" lockText="1" noThreeD="1"/>
</file>

<file path=xl/ctrlProps/ctrlProp15.xml><?xml version="1.0" encoding="utf-8"?>
<formControlPr xmlns="http://schemas.microsoft.com/office/spreadsheetml/2009/9/main" objectType="CheckBox" fmlaLink="Auswahl!$K$9"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Drop" dropLines="4" dropStyle="combo" dx="16" fmlaLink="BestandRH_Select" fmlaRange="Tabelle_BestandRH" noThreeD="1" sel="1" val="0"/>
</file>

<file path=xl/ctrlProps/ctrlProp19.xml><?xml version="1.0" encoding="utf-8"?>
<formControlPr xmlns="http://schemas.microsoft.com/office/spreadsheetml/2009/9/main" objectType="Drop" dropLines="14" dropStyle="combo" dx="16" fmlaLink="EA_Kategorie_Select" fmlaRange="EA_Kategorie" noThreeD="1" sel="1" val="0"/>
</file>

<file path=xl/ctrlProps/ctrlProp2.xml><?xml version="1.0" encoding="utf-8"?>
<formControlPr xmlns="http://schemas.microsoft.com/office/spreadsheetml/2009/9/main" objectType="Drop" dropLines="14" dropStyle="combo" dx="16" fmlaLink="EA_WW_System_Select" fmlaRange="EA_WW_System" noThreeD="1" sel="1" val="0"/>
</file>

<file path=xl/ctrlProps/ctrlProp20.xml><?xml version="1.0" encoding="utf-8"?>
<formControlPr xmlns="http://schemas.microsoft.com/office/spreadsheetml/2009/9/main" objectType="CheckBox" fmlaLink="Auswahl!B2" lockText="1" noThreeD="1"/>
</file>

<file path=xl/ctrlProps/ctrlProp21.xml><?xml version="1.0" encoding="utf-8"?>
<formControlPr xmlns="http://schemas.microsoft.com/office/spreadsheetml/2009/9/main" objectType="Drop" dropLines="3" dropStyle="combo" dx="16" fmlaLink="EA_TSA_Select" fmlaRange="EA_TSA" noThreeD="1" sel="1" val="0"/>
</file>

<file path=xl/ctrlProps/ctrlProp22.xml><?xml version="1.0" encoding="utf-8"?>
<formControlPr xmlns="http://schemas.microsoft.com/office/spreadsheetml/2009/9/main" objectType="Radio" firstButton="1" fmlaLink="EA_Vorhaben"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Auswahl!$J$5" lockText="1" noThreeD="1"/>
</file>

<file path=xl/ctrlProps/ctrlProp25.xml><?xml version="1.0" encoding="utf-8"?>
<formControlPr xmlns="http://schemas.microsoft.com/office/spreadsheetml/2009/9/main" objectType="CheckBox" fmlaLink="Auswahl!$K$5" lockText="1" noThreeD="1"/>
</file>

<file path=xl/ctrlProps/ctrlProp26.xml><?xml version="1.0" encoding="utf-8"?>
<formControlPr xmlns="http://schemas.microsoft.com/office/spreadsheetml/2009/9/main" objectType="CheckBox" fmlaLink="Auswahl!$J$6" lockText="1" noThreeD="1"/>
</file>

<file path=xl/ctrlProps/ctrlProp27.xml><?xml version="1.0" encoding="utf-8"?>
<formControlPr xmlns="http://schemas.microsoft.com/office/spreadsheetml/2009/9/main" objectType="CheckBox" fmlaLink="Auswahl!$K$6" lockText="1" noThreeD="1"/>
</file>

<file path=xl/ctrlProps/ctrlProp28.xml><?xml version="1.0" encoding="utf-8"?>
<formControlPr xmlns="http://schemas.microsoft.com/office/spreadsheetml/2009/9/main" objectType="CheckBox" fmlaLink="Auswahl!$J$7" lockText="1" noThreeD="1"/>
</file>

<file path=xl/ctrlProps/ctrlProp29.xml><?xml version="1.0" encoding="utf-8"?>
<formControlPr xmlns="http://schemas.microsoft.com/office/spreadsheetml/2009/9/main" objectType="CheckBox" fmlaLink="Auswahl!$K$7" lockText="1" noThreeD="1"/>
</file>

<file path=xl/ctrlProps/ctrlProp3.xml><?xml version="1.0" encoding="utf-8"?>
<formControlPr xmlns="http://schemas.microsoft.com/office/spreadsheetml/2009/9/main" objectType="Radio" firstButton="1" fmlaLink="EA_Nachweis" lockText="1" noThreeD="1"/>
</file>

<file path=xl/ctrlProps/ctrlProp30.xml><?xml version="1.0" encoding="utf-8"?>
<formControlPr xmlns="http://schemas.microsoft.com/office/spreadsheetml/2009/9/main" objectType="CheckBox" fmlaLink="Auswahl!$J$8" lockText="1" noThreeD="1"/>
</file>

<file path=xl/ctrlProps/ctrlProp31.xml><?xml version="1.0" encoding="utf-8"?>
<formControlPr xmlns="http://schemas.microsoft.com/office/spreadsheetml/2009/9/main" objectType="CheckBox" fmlaLink="Auswahl!$K$8" lockText="1" noThreeD="1"/>
</file>

<file path=xl/ctrlProps/ctrlProp32.xml><?xml version="1.0" encoding="utf-8"?>
<formControlPr xmlns="http://schemas.microsoft.com/office/spreadsheetml/2009/9/main" objectType="CheckBox" fmlaLink="Auswahl!$J$9" lockText="1" noThreeD="1"/>
</file>

<file path=xl/ctrlProps/ctrlProp33.xml><?xml version="1.0" encoding="utf-8"?>
<formControlPr xmlns="http://schemas.microsoft.com/office/spreadsheetml/2009/9/main" objectType="CheckBox" fmlaLink="Auswahl!$K$9"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uswahl!$J$5" lockText="1" noThreeD="1"/>
</file>

<file path=xl/ctrlProps/ctrlProp7.xml><?xml version="1.0" encoding="utf-8"?>
<formControlPr xmlns="http://schemas.microsoft.com/office/spreadsheetml/2009/9/main" objectType="CheckBox" fmlaLink="Auswahl!$K$5" lockText="1" noThreeD="1"/>
</file>

<file path=xl/ctrlProps/ctrlProp8.xml><?xml version="1.0" encoding="utf-8"?>
<formControlPr xmlns="http://schemas.microsoft.com/office/spreadsheetml/2009/9/main" objectType="CheckBox" fmlaLink="Auswahl!$J$6" lockText="1" noThreeD="1"/>
</file>

<file path=xl/ctrlProps/ctrlProp9.xml><?xml version="1.0" encoding="utf-8"?>
<formControlPr xmlns="http://schemas.microsoft.com/office/spreadsheetml/2009/9/main" objectType="CheckBox" fmlaLink="Auswahl!$K$6" lockText="1" noThreeD="1"/>
</file>

<file path=xl/drawings/_rels/drawing1.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Navigation_A"/></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Navigation_A"/></Relationships>
</file>

<file path=xl/drawings/_rels/drawing3.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A!A1"/></Relationships>
</file>

<file path=xl/drawings/_rels/drawing4.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A!A1"/></Relationships>
</file>

<file path=xl/drawings/_rels/drawing5.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A!A1"/></Relationships>
</file>

<file path=xl/drawings/_rels/drawing6.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A!A1"/></Relationships>
</file>

<file path=xl/drawings/_rels/drawing7.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A!A1"/></Relationships>
</file>

<file path=xl/drawings/_rels/drawing8.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jpeg"/><Relationship Id="rId4" Type="http://schemas.openxmlformats.org/officeDocument/2006/relationships/hyperlink" Target="#Navigation_4"/><Relationship Id="rId9" Type="http://schemas.openxmlformats.org/officeDocument/2006/relationships/hyperlink" Target="#A!A1"/></Relationships>
</file>

<file path=xl/drawings/_rels/drawing9.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11" Type="http://schemas.openxmlformats.org/officeDocument/2006/relationships/image" Target="../media/image1.jpeg"/><Relationship Id="rId5" Type="http://schemas.openxmlformats.org/officeDocument/2006/relationships/hyperlink" Target="#Navigation_3"/><Relationship Id="rId10" Type="http://schemas.openxmlformats.org/officeDocument/2006/relationships/chart" Target="../charts/chart1.xml"/><Relationship Id="rId4" Type="http://schemas.openxmlformats.org/officeDocument/2006/relationships/hyperlink" Target="#Navigation_4"/><Relationship Id="rId9" Type="http://schemas.openxmlformats.org/officeDocument/2006/relationships/hyperlink" Target="#Navigation_A"/></Relationships>
</file>

<file path=xl/drawings/drawing1.xml><?xml version="1.0" encoding="utf-8"?>
<xdr:wsDr xmlns:xdr="http://schemas.openxmlformats.org/drawingml/2006/spreadsheetDrawing" xmlns:a="http://schemas.openxmlformats.org/drawingml/2006/main">
  <xdr:twoCellAnchor editAs="absolute">
    <xdr:from>
      <xdr:col>12</xdr:col>
      <xdr:colOff>6350</xdr:colOff>
      <xdr:row>5</xdr:row>
      <xdr:rowOff>0</xdr:rowOff>
    </xdr:from>
    <xdr:to>
      <xdr:col>18</xdr:col>
      <xdr:colOff>12700</xdr:colOff>
      <xdr:row>5</xdr:row>
      <xdr:rowOff>236963</xdr:rowOff>
    </xdr:to>
    <xdr:sp macro="" textlink="">
      <xdr:nvSpPr>
        <xdr:cNvPr id="2" name="8">
          <a:hlinkClick xmlns:r="http://schemas.openxmlformats.org/officeDocument/2006/relationships" r:id="rId1" tooltip="Mit Klick zu Punkt 7: Rahmenbedingungen"/>
          <a:extLst>
            <a:ext uri="{FF2B5EF4-FFF2-40B4-BE49-F238E27FC236}">
              <a16:creationId xmlns:a16="http://schemas.microsoft.com/office/drawing/2014/main" id="{00000000-0008-0000-0000-000002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6350</xdr:colOff>
      <xdr:row>3</xdr:row>
      <xdr:rowOff>0</xdr:rowOff>
    </xdr:from>
    <xdr:to>
      <xdr:col>18</xdr:col>
      <xdr:colOff>12700</xdr:colOff>
      <xdr:row>4</xdr:row>
      <xdr:rowOff>2506</xdr:rowOff>
    </xdr:to>
    <xdr:sp macro="" textlink="">
      <xdr:nvSpPr>
        <xdr:cNvPr id="3" name="7">
          <a:hlinkClick xmlns:r="http://schemas.openxmlformats.org/officeDocument/2006/relationships" r:id="rId2" tooltip="Mit Klick zu Punkt 6: Wärmepumpe (Sole)"/>
          <a:extLst>
            <a:ext uri="{FF2B5EF4-FFF2-40B4-BE49-F238E27FC236}">
              <a16:creationId xmlns:a16="http://schemas.microsoft.com/office/drawing/2014/main" id="{00000000-0008-0000-0000-000003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6350</xdr:colOff>
      <xdr:row>0</xdr:row>
      <xdr:rowOff>209085</xdr:rowOff>
    </xdr:from>
    <xdr:to>
      <xdr:col>18</xdr:col>
      <xdr:colOff>12700</xdr:colOff>
      <xdr:row>2</xdr:row>
      <xdr:rowOff>1013</xdr:rowOff>
    </xdr:to>
    <xdr:sp macro="" textlink="">
      <xdr:nvSpPr>
        <xdr:cNvPr id="4" name="6">
          <a:hlinkClick xmlns:r="http://schemas.openxmlformats.org/officeDocument/2006/relationships" r:id="rId3" tooltip="Mit Klick zu Punkt 5: Wärmepumpe (Wasser)"/>
          <a:extLst>
            <a:ext uri="{FF2B5EF4-FFF2-40B4-BE49-F238E27FC236}">
              <a16:creationId xmlns:a16="http://schemas.microsoft.com/office/drawing/2014/main" id="{00000000-0008-0000-0000-000004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6350</xdr:colOff>
      <xdr:row>5</xdr:row>
      <xdr:rowOff>0</xdr:rowOff>
    </xdr:from>
    <xdr:to>
      <xdr:col>11</xdr:col>
      <xdr:colOff>12700</xdr:colOff>
      <xdr:row>5</xdr:row>
      <xdr:rowOff>236963</xdr:rowOff>
    </xdr:to>
    <xdr:sp macro="" textlink="">
      <xdr:nvSpPr>
        <xdr:cNvPr id="5" name="5">
          <a:hlinkClick xmlns:r="http://schemas.openxmlformats.org/officeDocument/2006/relationships" r:id="rId4" tooltip="Mit Klick zu Punkt 4: Wärmepumpe (Luft)"/>
          <a:extLst>
            <a:ext uri="{FF2B5EF4-FFF2-40B4-BE49-F238E27FC236}">
              <a16:creationId xmlns:a16="http://schemas.microsoft.com/office/drawing/2014/main" id="{00000000-0008-0000-0000-000005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6350</xdr:colOff>
      <xdr:row>3</xdr:row>
      <xdr:rowOff>0</xdr:rowOff>
    </xdr:from>
    <xdr:to>
      <xdr:col>11</xdr:col>
      <xdr:colOff>12700</xdr:colOff>
      <xdr:row>4</xdr:row>
      <xdr:rowOff>2506</xdr:rowOff>
    </xdr:to>
    <xdr:sp macro="" textlink="">
      <xdr:nvSpPr>
        <xdr:cNvPr id="6" name="4">
          <a:hlinkClick xmlns:r="http://schemas.openxmlformats.org/officeDocument/2006/relationships" r:id="rId5" tooltip="Mit Klick zu Punkt 3: Nah-/Fernwärme (ern.)"/>
          <a:extLst>
            <a:ext uri="{FF2B5EF4-FFF2-40B4-BE49-F238E27FC236}">
              <a16:creationId xmlns:a16="http://schemas.microsoft.com/office/drawing/2014/main" id="{00000000-0008-0000-0000-000006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6350</xdr:colOff>
      <xdr:row>0</xdr:row>
      <xdr:rowOff>209085</xdr:rowOff>
    </xdr:from>
    <xdr:to>
      <xdr:col>11</xdr:col>
      <xdr:colOff>12700</xdr:colOff>
      <xdr:row>2</xdr:row>
      <xdr:rowOff>1013</xdr:rowOff>
    </xdr:to>
    <xdr:sp macro="" textlink="">
      <xdr:nvSpPr>
        <xdr:cNvPr id="7" name="3">
          <a:hlinkClick xmlns:r="http://schemas.openxmlformats.org/officeDocument/2006/relationships" r:id="rId6" tooltip="Mit Klick zu Punkt 3 (Fernwärme erneuerbar)"/>
          <a:extLst>
            <a:ext uri="{FF2B5EF4-FFF2-40B4-BE49-F238E27FC236}">
              <a16:creationId xmlns:a16="http://schemas.microsoft.com/office/drawing/2014/main" id="{00000000-0008-0000-0000-000007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6</xdr:col>
      <xdr:colOff>6350</xdr:colOff>
      <xdr:row>6</xdr:row>
      <xdr:rowOff>9525</xdr:rowOff>
    </xdr:to>
    <xdr:sp macro="" textlink="">
      <xdr:nvSpPr>
        <xdr:cNvPr id="8" name="2">
          <a:hlinkClick xmlns:r="http://schemas.openxmlformats.org/officeDocument/2006/relationships" r:id="rId7" tooltip="Mit Klick zu Punkt 1: Gewähltes System"/>
          <a:extLst>
            <a:ext uri="{FF2B5EF4-FFF2-40B4-BE49-F238E27FC236}">
              <a16:creationId xmlns:a16="http://schemas.microsoft.com/office/drawing/2014/main" id="{00000000-0008-0000-0000-000008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6</xdr:col>
      <xdr:colOff>6350</xdr:colOff>
      <xdr:row>4</xdr:row>
      <xdr:rowOff>2506</xdr:rowOff>
    </xdr:to>
    <xdr:sp macro="" textlink="">
      <xdr:nvSpPr>
        <xdr:cNvPr id="9" name="1">
          <a:hlinkClick xmlns:r="http://schemas.openxmlformats.org/officeDocument/2006/relationships" r:id="rId8" tooltip="Mit Klick zu Punkt 0: Basisangaben"/>
          <a:extLst>
            <a:ext uri="{FF2B5EF4-FFF2-40B4-BE49-F238E27FC236}">
              <a16:creationId xmlns:a16="http://schemas.microsoft.com/office/drawing/2014/main" id="{00000000-0008-0000-0000-000009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0</xdr:row>
      <xdr:rowOff>209085</xdr:rowOff>
    </xdr:from>
    <xdr:to>
      <xdr:col>6</xdr:col>
      <xdr:colOff>6350</xdr:colOff>
      <xdr:row>2</xdr:row>
      <xdr:rowOff>1013</xdr:rowOff>
    </xdr:to>
    <xdr:sp macro="" textlink="">
      <xdr:nvSpPr>
        <xdr:cNvPr id="10" name="0">
          <a:hlinkClick xmlns:r="http://schemas.openxmlformats.org/officeDocument/2006/relationships" r:id="rId9" tooltip="Mit Klick zu Punkt A: Antragsformular"/>
          <a:extLst>
            <a:ext uri="{FF2B5EF4-FFF2-40B4-BE49-F238E27FC236}">
              <a16:creationId xmlns:a16="http://schemas.microsoft.com/office/drawing/2014/main" id="{00000000-0008-0000-0000-00000A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18</xdr:col>
          <xdr:colOff>0</xdr:colOff>
          <xdr:row>28</xdr:row>
          <xdr:rowOff>0</xdr:rowOff>
        </xdr:to>
        <xdr:sp macro="" textlink="">
          <xdr:nvSpPr>
            <xdr:cNvPr id="33794" name="Drop Down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18</xdr:col>
          <xdr:colOff>0</xdr:colOff>
          <xdr:row>26</xdr:row>
          <xdr:rowOff>0</xdr:rowOff>
        </xdr:to>
        <xdr:sp macro="" textlink="">
          <xdr:nvSpPr>
            <xdr:cNvPr id="33795" name="Drop Down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123825</xdr:rowOff>
        </xdr:from>
        <xdr:to>
          <xdr:col>3</xdr:col>
          <xdr:colOff>9525</xdr:colOff>
          <xdr:row>36</xdr:row>
          <xdr:rowOff>9525</xdr:rowOff>
        </xdr:to>
        <xdr:sp macro="" textlink="">
          <xdr:nvSpPr>
            <xdr:cNvPr id="33797" name="Option Button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190500</xdr:rowOff>
        </xdr:from>
        <xdr:to>
          <xdr:col>3</xdr:col>
          <xdr:colOff>9525</xdr:colOff>
          <xdr:row>37</xdr:row>
          <xdr:rowOff>9525</xdr:rowOff>
        </xdr:to>
        <xdr:sp macro="" textlink="">
          <xdr:nvSpPr>
            <xdr:cNvPr id="33798" name="Option Button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190500</xdr:rowOff>
        </xdr:from>
        <xdr:to>
          <xdr:col>3</xdr:col>
          <xdr:colOff>9525</xdr:colOff>
          <xdr:row>38</xdr:row>
          <xdr:rowOff>9525</xdr:rowOff>
        </xdr:to>
        <xdr:sp macro="" textlink="">
          <xdr:nvSpPr>
            <xdr:cNvPr id="33799" name="Option Button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45</xdr:row>
          <xdr:rowOff>19050</xdr:rowOff>
        </xdr:from>
        <xdr:to>
          <xdr:col>7</xdr:col>
          <xdr:colOff>638175</xdr:colOff>
          <xdr:row>45</xdr:row>
          <xdr:rowOff>190500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0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45</xdr:row>
          <xdr:rowOff>19050</xdr:rowOff>
        </xdr:from>
        <xdr:to>
          <xdr:col>9</xdr:col>
          <xdr:colOff>609600</xdr:colOff>
          <xdr:row>45</xdr:row>
          <xdr:rowOff>190500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0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46</xdr:row>
          <xdr:rowOff>19050</xdr:rowOff>
        </xdr:from>
        <xdr:to>
          <xdr:col>7</xdr:col>
          <xdr:colOff>638175</xdr:colOff>
          <xdr:row>46</xdr:row>
          <xdr:rowOff>190500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0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46</xdr:row>
          <xdr:rowOff>19050</xdr:rowOff>
        </xdr:from>
        <xdr:to>
          <xdr:col>9</xdr:col>
          <xdr:colOff>609600</xdr:colOff>
          <xdr:row>46</xdr:row>
          <xdr:rowOff>190500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0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47</xdr:row>
          <xdr:rowOff>19050</xdr:rowOff>
        </xdr:from>
        <xdr:to>
          <xdr:col>7</xdr:col>
          <xdr:colOff>638175</xdr:colOff>
          <xdr:row>47</xdr:row>
          <xdr:rowOff>190500</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000-00003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47</xdr:row>
          <xdr:rowOff>19050</xdr:rowOff>
        </xdr:from>
        <xdr:to>
          <xdr:col>9</xdr:col>
          <xdr:colOff>609600</xdr:colOff>
          <xdr:row>47</xdr:row>
          <xdr:rowOff>190500</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000-00004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48</xdr:row>
          <xdr:rowOff>19050</xdr:rowOff>
        </xdr:from>
        <xdr:to>
          <xdr:col>7</xdr:col>
          <xdr:colOff>638175</xdr:colOff>
          <xdr:row>48</xdr:row>
          <xdr:rowOff>190500</xdr:rowOff>
        </xdr:to>
        <xdr:sp macro="" textlink="">
          <xdr:nvSpPr>
            <xdr:cNvPr id="33857" name="Check Box 65" hidden="1">
              <a:extLst>
                <a:ext uri="{63B3BB69-23CF-44E3-9099-C40C66FF867C}">
                  <a14:compatExt spid="_x0000_s33857"/>
                </a:ext>
                <a:ext uri="{FF2B5EF4-FFF2-40B4-BE49-F238E27FC236}">
                  <a16:creationId xmlns:a16="http://schemas.microsoft.com/office/drawing/2014/main" id="{00000000-0008-0000-0000-00004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48</xdr:row>
          <xdr:rowOff>19050</xdr:rowOff>
        </xdr:from>
        <xdr:to>
          <xdr:col>9</xdr:col>
          <xdr:colOff>609600</xdr:colOff>
          <xdr:row>48</xdr:row>
          <xdr:rowOff>190500</xdr:rowOff>
        </xdr:to>
        <xdr:sp macro="" textlink="">
          <xdr:nvSpPr>
            <xdr:cNvPr id="33858" name="Check Box 66" hidden="1">
              <a:extLst>
                <a:ext uri="{63B3BB69-23CF-44E3-9099-C40C66FF867C}">
                  <a14:compatExt spid="_x0000_s33858"/>
                </a:ext>
                <a:ext uri="{FF2B5EF4-FFF2-40B4-BE49-F238E27FC236}">
                  <a16:creationId xmlns:a16="http://schemas.microsoft.com/office/drawing/2014/main" id="{00000000-0008-0000-0000-00004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49</xdr:row>
          <xdr:rowOff>19050</xdr:rowOff>
        </xdr:from>
        <xdr:to>
          <xdr:col>7</xdr:col>
          <xdr:colOff>638175</xdr:colOff>
          <xdr:row>49</xdr:row>
          <xdr:rowOff>190500</xdr:rowOff>
        </xdr:to>
        <xdr:sp macro="" textlink="">
          <xdr:nvSpPr>
            <xdr:cNvPr id="33859" name="Check Box 67" hidden="1">
              <a:extLst>
                <a:ext uri="{63B3BB69-23CF-44E3-9099-C40C66FF867C}">
                  <a14:compatExt spid="_x0000_s33859"/>
                </a:ext>
                <a:ext uri="{FF2B5EF4-FFF2-40B4-BE49-F238E27FC236}">
                  <a16:creationId xmlns:a16="http://schemas.microsoft.com/office/drawing/2014/main" id="{00000000-0008-0000-0000-00004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49</xdr:row>
          <xdr:rowOff>19050</xdr:rowOff>
        </xdr:from>
        <xdr:to>
          <xdr:col>9</xdr:col>
          <xdr:colOff>609600</xdr:colOff>
          <xdr:row>49</xdr:row>
          <xdr:rowOff>190500</xdr:rowOff>
        </xdr:to>
        <xdr:sp macro="" textlink="">
          <xdr:nvSpPr>
            <xdr:cNvPr id="33860" name="Check Box 68" hidden="1">
              <a:extLst>
                <a:ext uri="{63B3BB69-23CF-44E3-9099-C40C66FF867C}">
                  <a14:compatExt spid="_x0000_s33860"/>
                </a:ext>
                <a:ext uri="{FF2B5EF4-FFF2-40B4-BE49-F238E27FC236}">
                  <a16:creationId xmlns:a16="http://schemas.microsoft.com/office/drawing/2014/main" id="{00000000-0008-0000-0000-00004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190500</xdr:rowOff>
        </xdr:from>
        <xdr:to>
          <xdr:col>3</xdr:col>
          <xdr:colOff>9525</xdr:colOff>
          <xdr:row>39</xdr:row>
          <xdr:rowOff>9525</xdr:rowOff>
        </xdr:to>
        <xdr:sp macro="" textlink="">
          <xdr:nvSpPr>
            <xdr:cNvPr id="33861" name="Option Button 69" hidden="1">
              <a:extLst>
                <a:ext uri="{63B3BB69-23CF-44E3-9099-C40C66FF867C}">
                  <a14:compatExt spid="_x0000_s33861"/>
                </a:ext>
                <a:ext uri="{FF2B5EF4-FFF2-40B4-BE49-F238E27FC236}">
                  <a16:creationId xmlns:a16="http://schemas.microsoft.com/office/drawing/2014/main" id="{00000000-0008-0000-0000-00004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17</xdr:col>
          <xdr:colOff>0</xdr:colOff>
          <xdr:row>50</xdr:row>
          <xdr:rowOff>0</xdr:rowOff>
        </xdr:to>
        <xdr:sp macro="" textlink="">
          <xdr:nvSpPr>
            <xdr:cNvPr id="33863" name="Group Box 71" hidden="1">
              <a:extLst>
                <a:ext uri="{63B3BB69-23CF-44E3-9099-C40C66FF867C}">
                  <a14:compatExt spid="_x0000_s33863"/>
                </a:ext>
                <a:ext uri="{FF2B5EF4-FFF2-40B4-BE49-F238E27FC236}">
                  <a16:creationId xmlns:a16="http://schemas.microsoft.com/office/drawing/2014/main" id="{00000000-0008-0000-0000-00004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13</xdr:col>
      <xdr:colOff>86360</xdr:colOff>
      <xdr:row>9</xdr:row>
      <xdr:rowOff>0</xdr:rowOff>
    </xdr:from>
    <xdr:to>
      <xdr:col>18</xdr:col>
      <xdr:colOff>12277</xdr:colOff>
      <xdr:row>12</xdr:row>
      <xdr:rowOff>819150</xdr:rowOff>
    </xdr:to>
    <xdr:pic>
      <xdr:nvPicPr>
        <xdr:cNvPr id="31" name="Grafik 30" descr="Logo ET.jpg">
          <a:extLst>
            <a:ext uri="{FF2B5EF4-FFF2-40B4-BE49-F238E27FC236}">
              <a16:creationId xmlns:a16="http://schemas.microsoft.com/office/drawing/2014/main" id="{00000000-0008-0000-0000-00001F000000}"/>
            </a:ext>
          </a:extLst>
        </xdr:cNvPr>
        <xdr:cNvPicPr>
          <a:picLocks/>
        </xdr:cNvPicPr>
      </xdr:nvPicPr>
      <xdr:blipFill>
        <a:blip xmlns:r="http://schemas.openxmlformats.org/officeDocument/2006/relationships" r:embed="rId10" cstate="print"/>
        <a:stretch>
          <a:fillRect/>
        </a:stretch>
      </xdr:blipFill>
      <xdr:spPr>
        <a:xfrm>
          <a:off x="4915535" y="1314450"/>
          <a:ext cx="1192742" cy="1333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18</xdr:col>
          <xdr:colOff>0</xdr:colOff>
          <xdr:row>30</xdr:row>
          <xdr:rowOff>0</xdr:rowOff>
        </xdr:to>
        <xdr:sp macro="" textlink="">
          <xdr:nvSpPr>
            <xdr:cNvPr id="33864" name="Drop Down 72" hidden="1">
              <a:extLst>
                <a:ext uri="{63B3BB69-23CF-44E3-9099-C40C66FF867C}">
                  <a14:compatExt spid="_x0000_s33864"/>
                </a:ext>
                <a:ext uri="{FF2B5EF4-FFF2-40B4-BE49-F238E27FC236}">
                  <a16:creationId xmlns:a16="http://schemas.microsoft.com/office/drawing/2014/main" id="{00000000-0008-0000-0000-00004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19</xdr:col>
      <xdr:colOff>0</xdr:colOff>
      <xdr:row>1</xdr:row>
      <xdr:rowOff>0</xdr:rowOff>
    </xdr:from>
    <xdr:to>
      <xdr:col>20</xdr:col>
      <xdr:colOff>656550</xdr:colOff>
      <xdr:row>6</xdr:row>
      <xdr:rowOff>18375</xdr:rowOff>
    </xdr:to>
    <xdr:pic>
      <xdr:nvPicPr>
        <xdr:cNvPr id="32" name="Grafik 31" descr="Logo ET.jpg">
          <a:extLst>
            <a:ext uri="{FF2B5EF4-FFF2-40B4-BE49-F238E27FC236}">
              <a16:creationId xmlns:a16="http://schemas.microsoft.com/office/drawing/2014/main" id="{00000000-0008-0000-0000-000020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57150</xdr:colOff>
      <xdr:row>1</xdr:row>
      <xdr:rowOff>9525</xdr:rowOff>
    </xdr:from>
    <xdr:to>
      <xdr:col>23</xdr:col>
      <xdr:colOff>560864</xdr:colOff>
      <xdr:row>27</xdr:row>
      <xdr:rowOff>56525</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201150" y="200025"/>
          <a:ext cx="8885714" cy="5000000"/>
        </a:xfrm>
        <a:prstGeom prst="rect">
          <a:avLst/>
        </a:prstGeom>
      </xdr:spPr>
    </xdr:pic>
    <xdr:clientData/>
  </xdr:twoCellAnchor>
  <xdr:twoCellAnchor editAs="oneCell">
    <xdr:from>
      <xdr:col>7</xdr:col>
      <xdr:colOff>200025</xdr:colOff>
      <xdr:row>11</xdr:row>
      <xdr:rowOff>66675</xdr:rowOff>
    </xdr:from>
    <xdr:to>
      <xdr:col>13</xdr:col>
      <xdr:colOff>608977</xdr:colOff>
      <xdr:row>22</xdr:row>
      <xdr:rowOff>9270</xdr:rowOff>
    </xdr:to>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5534025" y="2162175"/>
          <a:ext cx="4980952" cy="2038095"/>
        </a:xfrm>
        <a:prstGeom prst="rect">
          <a:avLst/>
        </a:prstGeom>
      </xdr:spPr>
    </xdr:pic>
    <xdr:clientData/>
  </xdr:twoCellAnchor>
  <xdr:twoCellAnchor editAs="oneCell">
    <xdr:from>
      <xdr:col>5</xdr:col>
      <xdr:colOff>695325</xdr:colOff>
      <xdr:row>4</xdr:row>
      <xdr:rowOff>0</xdr:rowOff>
    </xdr:from>
    <xdr:to>
      <xdr:col>9</xdr:col>
      <xdr:colOff>190182</xdr:colOff>
      <xdr:row>9</xdr:row>
      <xdr:rowOff>123690</xdr:rowOff>
    </xdr:to>
    <xdr:pic>
      <xdr:nvPicPr>
        <xdr:cNvPr id="4" name="Grafik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3"/>
        <a:stretch>
          <a:fillRect/>
        </a:stretch>
      </xdr:blipFill>
      <xdr:spPr>
        <a:xfrm>
          <a:off x="4505325" y="762000"/>
          <a:ext cx="254285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0</xdr:colOff>
      <xdr:row>5</xdr:row>
      <xdr:rowOff>0</xdr:rowOff>
    </xdr:from>
    <xdr:to>
      <xdr:col>15</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1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0</xdr:colOff>
      <xdr:row>3</xdr:row>
      <xdr:rowOff>0</xdr:rowOff>
    </xdr:from>
    <xdr:to>
      <xdr:col>15</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1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0</xdr:colOff>
      <xdr:row>1</xdr:row>
      <xdr:rowOff>0</xdr:rowOff>
    </xdr:from>
    <xdr:to>
      <xdr:col>15</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1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6</xdr:col>
      <xdr:colOff>0</xdr:colOff>
      <xdr:row>5</xdr:row>
      <xdr:rowOff>0</xdr:rowOff>
    </xdr:from>
    <xdr:to>
      <xdr:col>11</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1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6</xdr:col>
      <xdr:colOff>0</xdr:colOff>
      <xdr:row>3</xdr:row>
      <xdr:rowOff>0</xdr:rowOff>
    </xdr:from>
    <xdr:to>
      <xdr:col>11</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1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6</xdr:col>
      <xdr:colOff>0</xdr:colOff>
      <xdr:row>1</xdr:row>
      <xdr:rowOff>0</xdr:rowOff>
    </xdr:from>
    <xdr:to>
      <xdr:col>11</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1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5</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1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5</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1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5</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1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15</xdr:col>
          <xdr:colOff>0</xdr:colOff>
          <xdr:row>20</xdr:row>
          <xdr:rowOff>0</xdr:rowOff>
        </xdr:to>
        <xdr:sp macro="" textlink="">
          <xdr:nvSpPr>
            <xdr:cNvPr id="25603" name="Drop Dow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20</xdr:row>
          <xdr:rowOff>28575</xdr:rowOff>
        </xdr:from>
        <xdr:to>
          <xdr:col>13</xdr:col>
          <xdr:colOff>381000</xdr:colOff>
          <xdr:row>22</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mit öffentlicher Nutzung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11</xdr:col>
          <xdr:colOff>0</xdr:colOff>
          <xdr:row>25</xdr:row>
          <xdr:rowOff>0</xdr:rowOff>
        </xdr:to>
        <xdr:sp macro="" textlink="">
          <xdr:nvSpPr>
            <xdr:cNvPr id="25609" name="Drop Down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17</xdr:row>
          <xdr:rowOff>0</xdr:rowOff>
        </xdr:from>
        <xdr:to>
          <xdr:col>9</xdr:col>
          <xdr:colOff>523875</xdr:colOff>
          <xdr:row>18</xdr:row>
          <xdr:rowOff>47625</xdr:rowOff>
        </xdr:to>
        <xdr:sp macro="" textlink="">
          <xdr:nvSpPr>
            <xdr:cNvPr id="25610" name="Option Button 10" hidden="1">
              <a:extLst>
                <a:ext uri="{63B3BB69-23CF-44E3-9099-C40C66FF867C}">
                  <a14:compatExt spid="_x0000_s25610"/>
                </a:ext>
                <a:ext uri="{FF2B5EF4-FFF2-40B4-BE49-F238E27FC236}">
                  <a16:creationId xmlns:a16="http://schemas.microsoft.com/office/drawing/2014/main" id="{00000000-0008-0000-0100-00000A6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Neubau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17</xdr:row>
          <xdr:rowOff>0</xdr:rowOff>
        </xdr:from>
        <xdr:to>
          <xdr:col>13</xdr:col>
          <xdr:colOff>161925</xdr:colOff>
          <xdr:row>18</xdr:row>
          <xdr:rowOff>47625</xdr:rowOff>
        </xdr:to>
        <xdr:sp macro="" textlink="">
          <xdr:nvSpPr>
            <xdr:cNvPr id="25611" name="Option Button 11" hidden="1">
              <a:extLst>
                <a:ext uri="{63B3BB69-23CF-44E3-9099-C40C66FF867C}">
                  <a14:compatExt spid="_x0000_s25611"/>
                </a:ext>
                <a:ext uri="{FF2B5EF4-FFF2-40B4-BE49-F238E27FC236}">
                  <a16:creationId xmlns:a16="http://schemas.microsoft.com/office/drawing/2014/main" id="{00000000-0008-0000-0100-00000B6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größere Renovierung</a:t>
              </a:r>
            </a:p>
          </xdr:txBody>
        </xdr:sp>
        <xdr:clientData fPrintsWithSheet="0"/>
      </xdr:twoCellAnchor>
    </mc:Choice>
    <mc:Fallback/>
  </mc:AlternateContent>
  <xdr:twoCellAnchor>
    <xdr:from>
      <xdr:col>16</xdr:col>
      <xdr:colOff>0</xdr:colOff>
      <xdr:row>1</xdr:row>
      <xdr:rowOff>0</xdr:rowOff>
    </xdr:from>
    <xdr:to>
      <xdr:col>17</xdr:col>
      <xdr:colOff>656550</xdr:colOff>
      <xdr:row>6</xdr:row>
      <xdr:rowOff>18375</xdr:rowOff>
    </xdr:to>
    <xdr:pic>
      <xdr:nvPicPr>
        <xdr:cNvPr id="18" name="Grafik 17" descr="Logo ET.jpg">
          <a:extLst>
            <a:ext uri="{FF2B5EF4-FFF2-40B4-BE49-F238E27FC236}">
              <a16:creationId xmlns:a16="http://schemas.microsoft.com/office/drawing/2014/main" id="{00000000-0008-0000-0100-000012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0</xdr:colOff>
      <xdr:row>5</xdr:row>
      <xdr:rowOff>0</xdr:rowOff>
    </xdr:from>
    <xdr:to>
      <xdr:col>12</xdr:col>
      <xdr:colOff>9525</xdr:colOff>
      <xdr:row>6</xdr:row>
      <xdr:rowOff>0</xdr:rowOff>
    </xdr:to>
    <xdr:sp macro="" textlink="">
      <xdr:nvSpPr>
        <xdr:cNvPr id="16" name="8">
          <a:hlinkClick xmlns:r="http://schemas.openxmlformats.org/officeDocument/2006/relationships" r:id="rId1" tooltip="Mit Klick zu Punkt 7: Rahmenbedingungen"/>
          <a:extLst>
            <a:ext uri="{FF2B5EF4-FFF2-40B4-BE49-F238E27FC236}">
              <a16:creationId xmlns:a16="http://schemas.microsoft.com/office/drawing/2014/main" id="{00000000-0008-0000-0200-000010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17" name="7">
          <a:hlinkClick xmlns:r="http://schemas.openxmlformats.org/officeDocument/2006/relationships" r:id="rId2" tooltip="Mit Klick zu Punkt 6: Wärmepumpe (Sole)"/>
          <a:extLst>
            <a:ext uri="{FF2B5EF4-FFF2-40B4-BE49-F238E27FC236}">
              <a16:creationId xmlns:a16="http://schemas.microsoft.com/office/drawing/2014/main" id="{00000000-0008-0000-0200-000011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18" name="6">
          <a:hlinkClick xmlns:r="http://schemas.openxmlformats.org/officeDocument/2006/relationships" r:id="rId3" tooltip="Mit Klick zu Punkt 5: Wärmepumpe (Wasser)"/>
          <a:extLst>
            <a:ext uri="{FF2B5EF4-FFF2-40B4-BE49-F238E27FC236}">
              <a16:creationId xmlns:a16="http://schemas.microsoft.com/office/drawing/2014/main" id="{00000000-0008-0000-0200-000012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14" name="5">
          <a:hlinkClick xmlns:r="http://schemas.openxmlformats.org/officeDocument/2006/relationships" r:id="rId4" tooltip="Mit Klick zu Punkt 4: Wärmepumpe (Luft)"/>
          <a:extLst>
            <a:ext uri="{FF2B5EF4-FFF2-40B4-BE49-F238E27FC236}">
              <a16:creationId xmlns:a16="http://schemas.microsoft.com/office/drawing/2014/main" id="{00000000-0008-0000-0200-00000E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7" name="4">
          <a:hlinkClick xmlns:r="http://schemas.openxmlformats.org/officeDocument/2006/relationships" r:id="rId5" tooltip="Mit Klick zu Punkt 3: Nah-/Fernwärme (ern.)"/>
          <a:extLst>
            <a:ext uri="{FF2B5EF4-FFF2-40B4-BE49-F238E27FC236}">
              <a16:creationId xmlns:a16="http://schemas.microsoft.com/office/drawing/2014/main" id="{00000000-0008-0000-0200-000007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13" name="3">
          <a:hlinkClick xmlns:r="http://schemas.openxmlformats.org/officeDocument/2006/relationships" r:id="rId6" tooltip="Mit Klick zu Punkt 2: Pelletsanlage"/>
          <a:extLst>
            <a:ext uri="{FF2B5EF4-FFF2-40B4-BE49-F238E27FC236}">
              <a16:creationId xmlns:a16="http://schemas.microsoft.com/office/drawing/2014/main" id="{00000000-0008-0000-0200-00000D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2" name="2">
          <a:hlinkClick xmlns:r="http://schemas.openxmlformats.org/officeDocument/2006/relationships" r:id="rId7" tooltip="Mit Klick zu Punkt 1: Gewähltes System"/>
          <a:extLst>
            <a:ext uri="{FF2B5EF4-FFF2-40B4-BE49-F238E27FC236}">
              <a16:creationId xmlns:a16="http://schemas.microsoft.com/office/drawing/2014/main" id="{00000000-0008-0000-0200-00000C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8" name="1">
          <a:hlinkClick xmlns:r="http://schemas.openxmlformats.org/officeDocument/2006/relationships" r:id="rId8" tooltip="Mit Klick zu Punkt 0: Basisangaben"/>
          <a:extLst>
            <a:ext uri="{FF2B5EF4-FFF2-40B4-BE49-F238E27FC236}">
              <a16:creationId xmlns:a16="http://schemas.microsoft.com/office/drawing/2014/main" id="{00000000-0008-0000-0200-000008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1" name="0">
          <a:hlinkClick xmlns:r="http://schemas.openxmlformats.org/officeDocument/2006/relationships" r:id="rId9" tooltip="Mit Klick zu Punkt A: Antragsformular"/>
          <a:extLst>
            <a:ext uri="{FF2B5EF4-FFF2-40B4-BE49-F238E27FC236}">
              <a16:creationId xmlns:a16="http://schemas.microsoft.com/office/drawing/2014/main" id="{00000000-0008-0000-0200-00000B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1</xdr:row>
      <xdr:rowOff>0</xdr:rowOff>
    </xdr:from>
    <xdr:to>
      <xdr:col>14</xdr:col>
      <xdr:colOff>656550</xdr:colOff>
      <xdr:row>6</xdr:row>
      <xdr:rowOff>18375</xdr:rowOff>
    </xdr:to>
    <xdr:pic>
      <xdr:nvPicPr>
        <xdr:cNvPr id="15" name="Grafik 14" descr="Logo ET.jpg">
          <a:extLst>
            <a:ext uri="{FF2B5EF4-FFF2-40B4-BE49-F238E27FC236}">
              <a16:creationId xmlns:a16="http://schemas.microsoft.com/office/drawing/2014/main" id="{00000000-0008-0000-0200-00000F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3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3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3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3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3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3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3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3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3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1</xdr:row>
      <xdr:rowOff>0</xdr:rowOff>
    </xdr:from>
    <xdr:to>
      <xdr:col>14</xdr:col>
      <xdr:colOff>656550</xdr:colOff>
      <xdr:row>6</xdr:row>
      <xdr:rowOff>18375</xdr:rowOff>
    </xdr:to>
    <xdr:pic>
      <xdr:nvPicPr>
        <xdr:cNvPr id="14" name="Grafik 13" descr="Logo ET.jpg">
          <a:extLst>
            <a:ext uri="{FF2B5EF4-FFF2-40B4-BE49-F238E27FC236}">
              <a16:creationId xmlns:a16="http://schemas.microsoft.com/office/drawing/2014/main" id="{00000000-0008-0000-0300-00000E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4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4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4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4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4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4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4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4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4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4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1</xdr:row>
      <xdr:rowOff>0</xdr:rowOff>
    </xdr:from>
    <xdr:to>
      <xdr:col>14</xdr:col>
      <xdr:colOff>656550</xdr:colOff>
      <xdr:row>6</xdr:row>
      <xdr:rowOff>18375</xdr:rowOff>
    </xdr:to>
    <xdr:pic>
      <xdr:nvPicPr>
        <xdr:cNvPr id="14" name="Grafik 13" descr="Logo ET.jpg">
          <a:extLst>
            <a:ext uri="{FF2B5EF4-FFF2-40B4-BE49-F238E27FC236}">
              <a16:creationId xmlns:a16="http://schemas.microsoft.com/office/drawing/2014/main" id="{00000000-0008-0000-0400-00000E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5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5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5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5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5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5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5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5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5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5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5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1</xdr:row>
      <xdr:rowOff>0</xdr:rowOff>
    </xdr:from>
    <xdr:to>
      <xdr:col>14</xdr:col>
      <xdr:colOff>656550</xdr:colOff>
      <xdr:row>6</xdr:row>
      <xdr:rowOff>18375</xdr:rowOff>
    </xdr:to>
    <xdr:pic>
      <xdr:nvPicPr>
        <xdr:cNvPr id="14" name="Grafik 13" descr="Logo ET.jpg">
          <a:extLst>
            <a:ext uri="{FF2B5EF4-FFF2-40B4-BE49-F238E27FC236}">
              <a16:creationId xmlns:a16="http://schemas.microsoft.com/office/drawing/2014/main" id="{00000000-0008-0000-0500-00000E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6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6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6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6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6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6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6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6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6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6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6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1</xdr:row>
      <xdr:rowOff>0</xdr:rowOff>
    </xdr:from>
    <xdr:to>
      <xdr:col>14</xdr:col>
      <xdr:colOff>656550</xdr:colOff>
      <xdr:row>6</xdr:row>
      <xdr:rowOff>18375</xdr:rowOff>
    </xdr:to>
    <xdr:pic>
      <xdr:nvPicPr>
        <xdr:cNvPr id="14" name="Grafik 13" descr="Logo ET.jpg">
          <a:extLst>
            <a:ext uri="{FF2B5EF4-FFF2-40B4-BE49-F238E27FC236}">
              <a16:creationId xmlns:a16="http://schemas.microsoft.com/office/drawing/2014/main" id="{00000000-0008-0000-0600-00000E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7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7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7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7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7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7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7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7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7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7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7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1</xdr:row>
      <xdr:rowOff>0</xdr:rowOff>
    </xdr:from>
    <xdr:to>
      <xdr:col>14</xdr:col>
      <xdr:colOff>656550</xdr:colOff>
      <xdr:row>6</xdr:row>
      <xdr:rowOff>18375</xdr:rowOff>
    </xdr:to>
    <xdr:pic>
      <xdr:nvPicPr>
        <xdr:cNvPr id="14" name="Grafik 13" descr="Logo ET.jpg">
          <a:extLst>
            <a:ext uri="{FF2B5EF4-FFF2-40B4-BE49-F238E27FC236}">
              <a16:creationId xmlns:a16="http://schemas.microsoft.com/office/drawing/2014/main" id="{00000000-0008-0000-0700-00000E000000}"/>
            </a:ext>
          </a:extLst>
        </xdr:cNvPr>
        <xdr:cNvPicPr>
          <a:picLocks/>
        </xdr:cNvPicPr>
      </xdr:nvPicPr>
      <xdr:blipFill>
        <a:blip xmlns:r="http://schemas.openxmlformats.org/officeDocument/2006/relationships" r:embed="rId10" cstate="print"/>
        <a:stretch>
          <a:fillRect/>
        </a:stretch>
      </xdr:blipFill>
      <xdr:spPr>
        <a:xfrm>
          <a:off x="6143625" y="209550"/>
          <a:ext cx="828000" cy="82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11</xdr:col>
      <xdr:colOff>0</xdr:colOff>
      <xdr:row>5</xdr:row>
      <xdr:rowOff>0</xdr:rowOff>
    </xdr:from>
    <xdr:to>
      <xdr:col>16</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8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11</xdr:col>
      <xdr:colOff>0</xdr:colOff>
      <xdr:row>3</xdr:row>
      <xdr:rowOff>0</xdr:rowOff>
    </xdr:from>
    <xdr:to>
      <xdr:col>16</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8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11</xdr:col>
      <xdr:colOff>0</xdr:colOff>
      <xdr:row>1</xdr:row>
      <xdr:rowOff>0</xdr:rowOff>
    </xdr:from>
    <xdr:to>
      <xdr:col>16</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8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10</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8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10</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8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10</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8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8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8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8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28575</xdr:colOff>
      <xdr:row>15</xdr:row>
      <xdr:rowOff>28574</xdr:rowOff>
    </xdr:from>
    <xdr:to>
      <xdr:col>15</xdr:col>
      <xdr:colOff>209550</xdr:colOff>
      <xdr:row>23</xdr:row>
      <xdr:rowOff>38100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1</xdr:row>
      <xdr:rowOff>0</xdr:rowOff>
    </xdr:from>
    <xdr:to>
      <xdr:col>18</xdr:col>
      <xdr:colOff>656550</xdr:colOff>
      <xdr:row>6</xdr:row>
      <xdr:rowOff>18375</xdr:rowOff>
    </xdr:to>
    <xdr:pic>
      <xdr:nvPicPr>
        <xdr:cNvPr id="14" name="Grafik 13" descr="Logo ET.jpg">
          <a:extLst>
            <a:ext uri="{FF2B5EF4-FFF2-40B4-BE49-F238E27FC236}">
              <a16:creationId xmlns:a16="http://schemas.microsoft.com/office/drawing/2014/main" id="{00000000-0008-0000-0800-00000E000000}"/>
            </a:ext>
          </a:extLst>
        </xdr:cNvPr>
        <xdr:cNvPicPr>
          <a:picLocks/>
        </xdr:cNvPicPr>
      </xdr:nvPicPr>
      <xdr:blipFill>
        <a:blip xmlns:r="http://schemas.openxmlformats.org/officeDocument/2006/relationships" r:embed="rId11" cstate="print"/>
        <a:stretch>
          <a:fillRect/>
        </a:stretch>
      </xdr:blipFill>
      <xdr:spPr>
        <a:xfrm>
          <a:off x="6143625" y="209550"/>
          <a:ext cx="828000" cy="828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00000"/>
  </sheetPr>
  <dimension ref="A1:BJ146"/>
  <sheetViews>
    <sheetView showGridLines="0" showRowColHeaders="0" tabSelected="1" zoomScaleNormal="100" workbookViewId="0">
      <pane ySplit="9" topLeftCell="A10" activePane="bottomLeft" state="frozen"/>
      <selection pane="bottomLeft" activeCell="H17" sqref="H17:R17"/>
    </sheetView>
  </sheetViews>
  <sheetFormatPr baseColWidth="10" defaultColWidth="11.42578125" defaultRowHeight="16.5" x14ac:dyDescent="0.3"/>
  <cols>
    <col min="1" max="1" width="3.5703125" style="20" customWidth="1"/>
    <col min="2" max="2" width="0.7109375" style="74" customWidth="1"/>
    <col min="3" max="3" width="2.85546875" style="20" customWidth="1"/>
    <col min="4" max="4" width="0.7109375" style="20" customWidth="1"/>
    <col min="5" max="5" width="21.42578125" style="20" customWidth="1"/>
    <col min="6" max="6" width="3.5703125" style="21" customWidth="1"/>
    <col min="7" max="7" width="0.7109375" style="20" customWidth="1"/>
    <col min="8" max="8" width="11.5703125" style="20" customWidth="1"/>
    <col min="9" max="9" width="3.140625" style="20" customWidth="1"/>
    <col min="10" max="10" width="10.28515625" style="20" customWidth="1"/>
    <col min="11" max="11" width="3.5703125" style="21" customWidth="1"/>
    <col min="12" max="12" width="0.7109375" style="20" customWidth="1"/>
    <col min="13" max="13" width="9.5703125" style="20" customWidth="1"/>
    <col min="14" max="14" width="6.42578125" style="20" customWidth="1"/>
    <col min="15" max="15" width="4.28515625" style="20" customWidth="1"/>
    <col min="16" max="16" width="4.7109375" style="20" customWidth="1"/>
    <col min="17" max="17" width="2.85546875" style="20" customWidth="1"/>
    <col min="18" max="18" width="0.7109375" style="21" customWidth="1"/>
    <col min="19" max="19" width="0.7109375" style="74" customWidth="1"/>
    <col min="20" max="20" width="2.5703125" style="74" customWidth="1"/>
    <col min="21" max="21" width="25.85546875" style="50" customWidth="1"/>
    <col min="22" max="22" width="16.7109375" style="20" customWidth="1"/>
    <col min="23" max="23" width="30" style="20" customWidth="1"/>
    <col min="24" max="34" width="11.42578125" style="74"/>
    <col min="35" max="62" width="11.42578125" style="22"/>
    <col min="63" max="16384" width="11.42578125" style="20"/>
  </cols>
  <sheetData>
    <row r="1" spans="1:34" x14ac:dyDescent="0.3">
      <c r="A1" s="22"/>
      <c r="B1" s="71"/>
      <c r="C1" s="22"/>
      <c r="D1" s="22"/>
      <c r="E1" s="22"/>
      <c r="F1" s="23"/>
      <c r="G1" s="22"/>
      <c r="H1" s="22"/>
      <c r="I1" s="22"/>
      <c r="J1" s="22"/>
      <c r="K1" s="23"/>
      <c r="L1" s="22"/>
      <c r="M1" s="22"/>
      <c r="N1" s="22"/>
      <c r="O1" s="22"/>
      <c r="P1" s="22"/>
      <c r="Q1" s="22"/>
      <c r="R1" s="23"/>
      <c r="S1" s="71"/>
      <c r="T1" s="71"/>
      <c r="U1" s="24"/>
      <c r="V1" s="22"/>
      <c r="W1" s="89"/>
      <c r="X1" s="71"/>
      <c r="Y1" s="71"/>
      <c r="Z1" s="71"/>
      <c r="AA1" s="71"/>
      <c r="AB1" s="71"/>
      <c r="AC1" s="71"/>
      <c r="AD1" s="71"/>
      <c r="AE1" s="71"/>
      <c r="AF1" s="71"/>
      <c r="AG1" s="71"/>
      <c r="AH1" s="71"/>
    </row>
    <row r="2" spans="1:34" ht="18.75" customHeight="1" x14ac:dyDescent="0.3">
      <c r="A2" s="45" t="s">
        <v>189</v>
      </c>
      <c r="B2" s="77"/>
      <c r="C2" s="39" t="str">
        <f>" "&amp;INDEX(Auswahl!$G$2:$G$10,1+0)&amp;" | "&amp;INDEX(Auswahl!$H$2:$H$10,1+0)</f>
        <v xml:space="preserve"> A | Antragsformular</v>
      </c>
      <c r="D2" s="61"/>
      <c r="E2" s="61"/>
      <c r="F2" s="175">
        <f>IF(Auswahl!$I$2=TRUE,2,0)</f>
        <v>0</v>
      </c>
      <c r="G2" s="30"/>
      <c r="H2" s="38" t="str">
        <f>" "&amp;INDEX(Auswahl!$G$2:$G$10,1+3)&amp;" | "&amp;INDEX(Auswahl!$H$2:$H$10,1+3)</f>
        <v xml:space="preserve"> 2 | Pelletsanlage</v>
      </c>
      <c r="I2" s="44"/>
      <c r="J2" s="44"/>
      <c r="K2" s="156">
        <f>IF(Auswahl!$I$5=TRUE,2,0)</f>
        <v>0</v>
      </c>
      <c r="L2" s="152"/>
      <c r="M2" s="38" t="str">
        <f>" "&amp;INDEX(Auswahl!$G$2:$G$10,1+6)&amp;" | "&amp;INDEX(Auswahl!$H$2:$H$10,1+6)</f>
        <v xml:space="preserve"> 5 | Wärmepumpe (Wasser)</v>
      </c>
      <c r="N2" s="44"/>
      <c r="O2" s="44"/>
      <c r="P2" s="44"/>
      <c r="Q2" s="367">
        <f>IF(Auswahl!$I$8=TRUE,2,0)</f>
        <v>0</v>
      </c>
      <c r="R2" s="368"/>
      <c r="S2" s="79"/>
      <c r="T2" s="79"/>
      <c r="U2" s="24"/>
      <c r="V2" s="22"/>
      <c r="W2" s="89"/>
      <c r="X2" s="71"/>
      <c r="Y2" s="71"/>
      <c r="Z2" s="71"/>
      <c r="AA2" s="71"/>
      <c r="AB2" s="71"/>
      <c r="AC2" s="71"/>
      <c r="AD2" s="71"/>
      <c r="AE2" s="71"/>
      <c r="AF2" s="71"/>
      <c r="AG2" s="71"/>
      <c r="AH2" s="71"/>
    </row>
    <row r="3" spans="1:34" ht="3.75" customHeight="1" x14ac:dyDescent="0.3">
      <c r="A3" s="36"/>
      <c r="B3" s="77"/>
      <c r="C3" s="33"/>
      <c r="D3" s="33"/>
      <c r="E3" s="33"/>
      <c r="F3" s="27"/>
      <c r="G3" s="30"/>
      <c r="H3" s="34"/>
      <c r="I3" s="34"/>
      <c r="J3" s="34"/>
      <c r="K3" s="153"/>
      <c r="L3" s="152"/>
      <c r="M3" s="33"/>
      <c r="N3" s="33"/>
      <c r="O3" s="33"/>
      <c r="P3" s="33"/>
      <c r="Q3" s="29"/>
      <c r="R3" s="153"/>
      <c r="S3" s="79"/>
      <c r="T3" s="79"/>
      <c r="U3" s="24"/>
      <c r="V3" s="22"/>
      <c r="W3" s="89"/>
      <c r="X3" s="71"/>
      <c r="Y3" s="71"/>
      <c r="Z3" s="71"/>
      <c r="AA3" s="71"/>
      <c r="AB3" s="71"/>
      <c r="AC3" s="71"/>
      <c r="AD3" s="71"/>
      <c r="AE3" s="71"/>
      <c r="AF3" s="71"/>
      <c r="AG3" s="71"/>
      <c r="AH3" s="71"/>
    </row>
    <row r="4" spans="1:34" ht="18.75" customHeight="1" x14ac:dyDescent="0.3">
      <c r="A4" s="334" t="s">
        <v>78</v>
      </c>
      <c r="B4" s="77"/>
      <c r="C4" s="38" t="str">
        <f>" "&amp;INDEX(Auswahl!$G$2:$G$10,1+1)&amp;" | "&amp;INDEX(Auswahl!$H$2:$H$10,1+1)</f>
        <v xml:space="preserve"> 0 | Basisangaben</v>
      </c>
      <c r="D4" s="44"/>
      <c r="E4" s="44"/>
      <c r="F4" s="156">
        <f>IF(Auswahl!$I$3=TRUE,2,0)</f>
        <v>0</v>
      </c>
      <c r="G4" s="30"/>
      <c r="H4" s="84" t="str">
        <f>" "&amp;INDEX(Auswahl!$G$2:$G$10,1+4)&amp;" | "&amp;INDEX(Auswahl!$H$2:$H$10,1+4)</f>
        <v xml:space="preserve"> 3 | Nah- /Fernwärme (ern.)</v>
      </c>
      <c r="I4" s="85"/>
      <c r="J4" s="85"/>
      <c r="K4" s="176">
        <f>IF(Auswahl!$I$6=TRUE,2,0)</f>
        <v>0</v>
      </c>
      <c r="L4" s="152"/>
      <c r="M4" s="38" t="str">
        <f>" "&amp;INDEX(Auswahl!$G$2:$G$10,1+7)&amp;" | "&amp;INDEX(Auswahl!$H$2:$H$10,1+7)</f>
        <v xml:space="preserve"> 6 | Wärmepumpe (Sole)</v>
      </c>
      <c r="N4" s="44"/>
      <c r="O4" s="44"/>
      <c r="P4" s="44"/>
      <c r="Q4" s="367">
        <f>IF(Auswahl!$I$9=TRUE,2,0)</f>
        <v>0</v>
      </c>
      <c r="R4" s="368"/>
      <c r="S4" s="80"/>
      <c r="T4" s="80"/>
      <c r="U4" s="335"/>
      <c r="V4" s="22"/>
      <c r="W4" s="89"/>
      <c r="X4" s="71"/>
      <c r="Y4" s="71"/>
      <c r="Z4" s="71"/>
      <c r="AA4" s="71"/>
      <c r="AB4" s="71"/>
      <c r="AC4" s="71"/>
      <c r="AD4" s="71"/>
      <c r="AE4" s="71"/>
      <c r="AF4" s="71"/>
      <c r="AG4" s="71"/>
      <c r="AH4" s="71"/>
    </row>
    <row r="5" spans="1:34" ht="3.75" customHeight="1" x14ac:dyDescent="0.3">
      <c r="A5" s="334"/>
      <c r="B5" s="77"/>
      <c r="C5" s="33"/>
      <c r="D5" s="33"/>
      <c r="E5" s="33"/>
      <c r="F5" s="153"/>
      <c r="G5" s="30"/>
      <c r="H5" s="34"/>
      <c r="I5" s="34"/>
      <c r="J5" s="34"/>
      <c r="K5" s="153"/>
      <c r="L5" s="152"/>
      <c r="M5" s="33"/>
      <c r="N5" s="33"/>
      <c r="O5" s="33"/>
      <c r="P5" s="33"/>
      <c r="Q5" s="29"/>
      <c r="R5" s="153"/>
      <c r="S5" s="80"/>
      <c r="T5" s="80"/>
      <c r="U5" s="335"/>
      <c r="V5" s="22"/>
      <c r="W5" s="89"/>
      <c r="X5" s="71"/>
      <c r="Y5" s="71"/>
      <c r="Z5" s="71"/>
      <c r="AA5" s="71"/>
      <c r="AB5" s="71"/>
      <c r="AC5" s="71"/>
      <c r="AD5" s="71"/>
      <c r="AE5" s="71"/>
      <c r="AF5" s="71"/>
      <c r="AG5" s="71"/>
      <c r="AH5" s="71"/>
    </row>
    <row r="6" spans="1:34" ht="18.75" customHeight="1" x14ac:dyDescent="0.3">
      <c r="A6" s="334"/>
      <c r="B6" s="77"/>
      <c r="C6" s="38" t="str">
        <f>" "&amp;INDEX(Auswahl!$G$2:$G$10,1+2)&amp;" | "&amp;INDEX(Auswahl!$H$2:$H$10,1+2)</f>
        <v xml:space="preserve"> 1 | Bitte wählen…</v>
      </c>
      <c r="D6" s="44"/>
      <c r="E6" s="44"/>
      <c r="F6" s="156">
        <f>IF(Auswahl!$I$4=TRUE,2,0)</f>
        <v>0</v>
      </c>
      <c r="G6" s="30"/>
      <c r="H6" s="38" t="str">
        <f>" "&amp;INDEX(Auswahl!$G$2:$G$10,1+5)&amp;" | "&amp;INDEX(Auswahl!$H$2:$H$10,1+5)</f>
        <v xml:space="preserve"> 4 | Wärmepumpe (Luft)</v>
      </c>
      <c r="I6" s="44"/>
      <c r="J6" s="44"/>
      <c r="K6" s="156">
        <f>IF(Auswahl!$I$7=TRUE,2,0)</f>
        <v>0</v>
      </c>
      <c r="L6" s="152"/>
      <c r="M6" s="38" t="str">
        <f>" "&amp;INDEX(Auswahl!$G$2:$G$10,1+8)&amp;" | "&amp;INDEX(Auswahl!$H$2:$H$10,1+8)</f>
        <v xml:space="preserve"> 7 | Rahmenbedingungen</v>
      </c>
      <c r="N6" s="44"/>
      <c r="O6" s="44"/>
      <c r="P6" s="44"/>
      <c r="Q6" s="367">
        <f>IF(Auswahl!$I$10=TRUE,2,0)</f>
        <v>0</v>
      </c>
      <c r="R6" s="368"/>
      <c r="S6" s="80"/>
      <c r="T6" s="80"/>
      <c r="U6" s="335"/>
      <c r="V6" s="22"/>
      <c r="W6" s="89"/>
      <c r="X6" s="71"/>
      <c r="Y6" s="71"/>
      <c r="Z6" s="71"/>
      <c r="AA6" s="71"/>
      <c r="AB6" s="71"/>
      <c r="AC6" s="71"/>
      <c r="AD6" s="71"/>
      <c r="AE6" s="71"/>
      <c r="AF6" s="71"/>
      <c r="AG6" s="71"/>
      <c r="AH6" s="71"/>
    </row>
    <row r="7" spans="1:34" ht="6.75" customHeight="1" x14ac:dyDescent="0.3">
      <c r="A7" s="22"/>
      <c r="B7" s="71"/>
      <c r="C7" s="29"/>
      <c r="D7" s="29"/>
      <c r="E7" s="29"/>
      <c r="F7" s="153"/>
      <c r="G7" s="24"/>
      <c r="H7" s="29"/>
      <c r="I7" s="29"/>
      <c r="J7" s="29"/>
      <c r="K7" s="153"/>
      <c r="L7" s="155"/>
      <c r="M7" s="29"/>
      <c r="N7" s="29"/>
      <c r="O7" s="29"/>
      <c r="P7" s="29"/>
      <c r="Q7" s="29"/>
      <c r="R7" s="153"/>
      <c r="S7" s="80"/>
      <c r="T7" s="80"/>
      <c r="U7" s="335"/>
      <c r="V7" s="22"/>
      <c r="W7" s="89"/>
      <c r="X7" s="71"/>
      <c r="Y7" s="71"/>
      <c r="Z7" s="71"/>
      <c r="AA7" s="71"/>
      <c r="AB7" s="71"/>
      <c r="AC7" s="71"/>
      <c r="AD7" s="71"/>
      <c r="AE7" s="71"/>
      <c r="AF7" s="71"/>
      <c r="AG7" s="71"/>
      <c r="AH7" s="71"/>
    </row>
    <row r="8" spans="1:34" ht="12.75" customHeight="1" x14ac:dyDescent="0.3">
      <c r="A8" s="22"/>
      <c r="B8" s="78"/>
      <c r="C8" s="35"/>
      <c r="D8" s="35"/>
      <c r="E8" s="35"/>
      <c r="F8" s="31"/>
      <c r="G8" s="24"/>
      <c r="H8" s="24"/>
      <c r="I8" s="24"/>
      <c r="J8" s="24"/>
      <c r="K8" s="31"/>
      <c r="L8" s="24"/>
      <c r="M8" s="24"/>
      <c r="N8" s="24"/>
      <c r="O8" s="24"/>
      <c r="P8" s="24"/>
      <c r="Q8" s="24"/>
      <c r="R8" s="31"/>
      <c r="S8" s="78"/>
      <c r="T8" s="78"/>
      <c r="U8" s="24"/>
      <c r="V8" s="22"/>
      <c r="W8" s="22"/>
      <c r="X8" s="71"/>
      <c r="Y8" s="71"/>
      <c r="Z8" s="71"/>
      <c r="AA8" s="71"/>
      <c r="AB8" s="71"/>
      <c r="AC8" s="71"/>
      <c r="AD8" s="71"/>
      <c r="AE8" s="71"/>
      <c r="AF8" s="71"/>
      <c r="AG8" s="71"/>
      <c r="AH8" s="71"/>
    </row>
    <row r="9" spans="1:34" ht="3.75" customHeight="1" x14ac:dyDescent="0.3">
      <c r="A9" s="22"/>
      <c r="T9" s="71"/>
      <c r="U9" s="24"/>
      <c r="V9" s="22"/>
      <c r="W9" s="22"/>
      <c r="X9" s="71"/>
      <c r="Y9" s="71"/>
      <c r="Z9" s="71"/>
      <c r="AA9" s="71"/>
      <c r="AB9" s="71"/>
      <c r="AC9" s="71"/>
      <c r="AD9" s="71"/>
      <c r="AE9" s="71"/>
      <c r="AF9" s="71"/>
      <c r="AG9" s="71"/>
      <c r="AH9" s="71"/>
    </row>
    <row r="10" spans="1:34" ht="13.5" customHeight="1" x14ac:dyDescent="0.3">
      <c r="A10" s="277"/>
      <c r="C10" s="87"/>
      <c r="D10" s="87"/>
      <c r="E10" s="223"/>
      <c r="R10" s="146"/>
      <c r="T10" s="71"/>
      <c r="U10" s="24"/>
      <c r="V10" s="22"/>
      <c r="W10" s="22"/>
      <c r="X10" s="71"/>
      <c r="Y10" s="71"/>
      <c r="Z10" s="71"/>
      <c r="AA10" s="71"/>
      <c r="AB10" s="71"/>
      <c r="AC10" s="71"/>
      <c r="AD10" s="71"/>
      <c r="AE10" s="71"/>
      <c r="AF10" s="71"/>
      <c r="AG10" s="71"/>
      <c r="AH10" s="71"/>
    </row>
    <row r="11" spans="1:34" ht="13.5" customHeight="1" x14ac:dyDescent="0.3">
      <c r="A11" s="22"/>
      <c r="C11" s="87"/>
      <c r="D11" s="87"/>
      <c r="E11" s="223"/>
      <c r="R11" s="147"/>
      <c r="T11" s="71"/>
      <c r="U11" s="24"/>
      <c r="V11" s="22"/>
      <c r="W11" s="22"/>
      <c r="X11" s="71"/>
      <c r="Y11" s="71"/>
      <c r="Z11" s="71"/>
      <c r="AA11" s="71"/>
      <c r="AB11" s="71"/>
      <c r="AC11" s="71"/>
      <c r="AD11" s="71"/>
      <c r="AE11" s="71"/>
      <c r="AF11" s="71"/>
      <c r="AG11" s="71"/>
      <c r="AH11" s="71"/>
    </row>
    <row r="12" spans="1:34" ht="13.5" customHeight="1" x14ac:dyDescent="0.3">
      <c r="A12" s="22"/>
      <c r="C12" s="87"/>
      <c r="D12" s="87"/>
      <c r="E12" s="158"/>
      <c r="R12" s="146"/>
      <c r="T12" s="71"/>
      <c r="U12" s="24"/>
      <c r="V12" s="22"/>
      <c r="W12" s="22"/>
      <c r="X12" s="71"/>
      <c r="Y12" s="71"/>
      <c r="Z12" s="71"/>
      <c r="AA12" s="71"/>
      <c r="AB12" s="71"/>
      <c r="AC12" s="71"/>
      <c r="AD12" s="71"/>
      <c r="AE12" s="71"/>
      <c r="AF12" s="71"/>
      <c r="AG12" s="71"/>
      <c r="AH12" s="71"/>
    </row>
    <row r="13" spans="1:34" ht="63.75" customHeight="1" x14ac:dyDescent="0.35">
      <c r="A13" s="22"/>
      <c r="C13" s="349" t="s">
        <v>337</v>
      </c>
      <c r="D13" s="349"/>
      <c r="E13" s="349"/>
      <c r="F13" s="349"/>
      <c r="G13" s="349"/>
      <c r="H13" s="349"/>
      <c r="I13" s="349"/>
      <c r="J13" s="349"/>
      <c r="K13" s="349"/>
      <c r="L13" s="349"/>
      <c r="M13" s="349"/>
      <c r="T13" s="71"/>
      <c r="U13" s="24"/>
      <c r="V13" s="22"/>
      <c r="W13" s="22"/>
      <c r="X13" s="71"/>
      <c r="Y13" s="71"/>
      <c r="Z13" s="71"/>
      <c r="AA13" s="71"/>
      <c r="AB13" s="71"/>
      <c r="AC13" s="71"/>
      <c r="AD13" s="71"/>
      <c r="AE13" s="71"/>
      <c r="AF13" s="71"/>
      <c r="AG13" s="71"/>
      <c r="AH13" s="71"/>
    </row>
    <row r="14" spans="1:34" ht="37.5" customHeight="1" x14ac:dyDescent="0.35">
      <c r="A14" s="22"/>
      <c r="C14" s="215"/>
      <c r="D14" s="87"/>
      <c r="E14" s="165"/>
      <c r="T14" s="71"/>
      <c r="U14" s="24"/>
      <c r="V14" s="22"/>
      <c r="W14" s="22"/>
      <c r="X14" s="71"/>
      <c r="Y14" s="71"/>
      <c r="Z14" s="71"/>
      <c r="AA14" s="71"/>
      <c r="AB14" s="71"/>
      <c r="AC14" s="71"/>
      <c r="AD14" s="71"/>
      <c r="AE14" s="71"/>
      <c r="AF14" s="71"/>
      <c r="AG14" s="71"/>
      <c r="AH14" s="71"/>
    </row>
    <row r="15" spans="1:34" ht="16.5" customHeight="1" x14ac:dyDescent="0.3">
      <c r="A15" s="22"/>
      <c r="B15" s="184" t="str">
        <f>IF(U15="","","!")</f>
        <v/>
      </c>
      <c r="C15" s="86" t="s">
        <v>185</v>
      </c>
      <c r="D15" s="86"/>
      <c r="E15" s="86"/>
      <c r="H15" s="345" t="s">
        <v>367</v>
      </c>
      <c r="I15" s="345"/>
      <c r="J15" s="345"/>
      <c r="K15" s="345"/>
      <c r="L15" s="345"/>
      <c r="M15" s="345"/>
      <c r="N15" s="345"/>
      <c r="O15" s="345"/>
      <c r="P15" s="345"/>
      <c r="Q15" s="345"/>
      <c r="R15" s="345"/>
      <c r="T15" s="178" t="str">
        <f>IF(U15="","","ï")</f>
        <v/>
      </c>
      <c r="U15" s="221" t="str">
        <f>IF(ISBLANK(H15)=TRUE,TBS_Fehler_2,"")</f>
        <v/>
      </c>
      <c r="V15" s="22"/>
      <c r="W15" s="22"/>
      <c r="X15" s="71"/>
      <c r="Y15" s="71"/>
      <c r="Z15" s="71"/>
      <c r="AA15" s="71"/>
      <c r="AB15" s="71"/>
      <c r="AC15" s="71"/>
      <c r="AD15" s="71"/>
      <c r="AE15" s="71"/>
      <c r="AF15" s="71"/>
      <c r="AG15" s="71"/>
      <c r="AH15" s="71"/>
    </row>
    <row r="16" spans="1:34" ht="3.75" customHeight="1" x14ac:dyDescent="0.3">
      <c r="A16" s="22"/>
      <c r="B16" s="182"/>
      <c r="C16" s="87"/>
      <c r="D16" s="87"/>
      <c r="E16" s="87"/>
      <c r="T16" s="71"/>
      <c r="U16" s="24"/>
      <c r="V16" s="22"/>
      <c r="W16" s="22"/>
      <c r="X16" s="71"/>
      <c r="Y16" s="71"/>
      <c r="Z16" s="71"/>
      <c r="AA16" s="71"/>
      <c r="AB16" s="71"/>
      <c r="AC16" s="71"/>
      <c r="AD16" s="71"/>
      <c r="AE16" s="71"/>
      <c r="AF16" s="71"/>
      <c r="AG16" s="71"/>
      <c r="AH16" s="71"/>
    </row>
    <row r="17" spans="1:34" ht="16.5" customHeight="1" x14ac:dyDescent="0.3">
      <c r="A17" s="22"/>
      <c r="B17" s="184" t="str">
        <f>IF(U17="","","!")</f>
        <v>!</v>
      </c>
      <c r="C17" s="86" t="s">
        <v>134</v>
      </c>
      <c r="D17" s="86"/>
      <c r="E17" s="86"/>
      <c r="H17" s="345"/>
      <c r="I17" s="345"/>
      <c r="J17" s="345"/>
      <c r="K17" s="345"/>
      <c r="L17" s="345"/>
      <c r="M17" s="345"/>
      <c r="N17" s="345"/>
      <c r="O17" s="345"/>
      <c r="P17" s="345"/>
      <c r="Q17" s="345"/>
      <c r="R17" s="345"/>
      <c r="T17" s="178" t="str">
        <f>IF(U17="","","ï")</f>
        <v>ï</v>
      </c>
      <c r="U17" s="221" t="str">
        <f>IF(ISBLANK(H17)=TRUE,TBS_Fehler_2,"")</f>
        <v>Bitte dieses Feld (roter Bereich = Pflichtfeld) ausfüllen!</v>
      </c>
      <c r="V17" s="22"/>
      <c r="W17" s="22"/>
      <c r="X17" s="71"/>
      <c r="Y17" s="71"/>
      <c r="Z17" s="71"/>
      <c r="AA17" s="71"/>
      <c r="AB17" s="71"/>
      <c r="AC17" s="71"/>
      <c r="AD17" s="71"/>
      <c r="AE17" s="71"/>
      <c r="AF17" s="71"/>
      <c r="AG17" s="71"/>
      <c r="AH17" s="71"/>
    </row>
    <row r="18" spans="1:34" ht="3.75" customHeight="1" x14ac:dyDescent="0.3">
      <c r="A18" s="22"/>
      <c r="B18" s="182"/>
      <c r="C18" s="86"/>
      <c r="D18" s="86"/>
      <c r="E18" s="86"/>
      <c r="H18" s="21"/>
      <c r="I18" s="21"/>
      <c r="J18" s="21"/>
      <c r="K18" s="76"/>
      <c r="T18" s="71"/>
      <c r="U18" s="24"/>
      <c r="V18" s="22"/>
      <c r="W18" s="22"/>
      <c r="X18" s="71"/>
      <c r="Y18" s="71"/>
      <c r="Z18" s="71"/>
      <c r="AA18" s="71"/>
      <c r="AB18" s="71"/>
      <c r="AC18" s="71"/>
      <c r="AD18" s="71"/>
      <c r="AE18" s="71"/>
      <c r="AF18" s="71"/>
      <c r="AG18" s="71"/>
      <c r="AH18" s="71"/>
    </row>
    <row r="19" spans="1:34" ht="16.5" customHeight="1" x14ac:dyDescent="0.3">
      <c r="A19" s="22"/>
      <c r="B19" s="184" t="str">
        <f>IF(U19="","","!")</f>
        <v>!</v>
      </c>
      <c r="C19" s="86" t="s">
        <v>135</v>
      </c>
      <c r="D19" s="86"/>
      <c r="E19" s="86"/>
      <c r="H19" s="345"/>
      <c r="I19" s="345"/>
      <c r="J19" s="345"/>
      <c r="K19" s="345"/>
      <c r="L19" s="345"/>
      <c r="M19" s="345"/>
      <c r="N19" s="345"/>
      <c r="O19" s="345"/>
      <c r="P19" s="345"/>
      <c r="Q19" s="345"/>
      <c r="R19" s="345"/>
      <c r="T19" s="178" t="str">
        <f>IF(U19="","","ï")</f>
        <v>ï</v>
      </c>
      <c r="U19" s="221" t="str">
        <f>IF(ISBLANK(H19)=TRUE,TBS_Fehler_2,"")</f>
        <v>Bitte dieses Feld (roter Bereich = Pflichtfeld) ausfüllen!</v>
      </c>
      <c r="V19" s="22"/>
      <c r="W19" s="22"/>
      <c r="X19" s="71"/>
      <c r="Y19" s="71"/>
      <c r="Z19" s="71"/>
      <c r="AA19" s="71"/>
      <c r="AB19" s="71"/>
      <c r="AC19" s="71"/>
      <c r="AD19" s="71"/>
      <c r="AE19" s="71"/>
      <c r="AF19" s="71"/>
      <c r="AG19" s="71"/>
      <c r="AH19" s="71"/>
    </row>
    <row r="20" spans="1:34" ht="3.75" customHeight="1" x14ac:dyDescent="0.3">
      <c r="A20" s="22"/>
      <c r="B20" s="182"/>
      <c r="C20" s="86"/>
      <c r="D20" s="86"/>
      <c r="E20" s="86"/>
      <c r="J20" s="195"/>
      <c r="K20" s="195"/>
      <c r="L20" s="195"/>
      <c r="M20" s="195"/>
      <c r="N20" s="195"/>
      <c r="O20" s="195"/>
      <c r="P20" s="195"/>
      <c r="Q20" s="195"/>
      <c r="R20" s="195"/>
      <c r="T20" s="71"/>
      <c r="U20" s="24"/>
      <c r="V20" s="22"/>
      <c r="W20" s="22"/>
      <c r="X20" s="71"/>
      <c r="Y20" s="71"/>
      <c r="Z20" s="71"/>
      <c r="AA20" s="71"/>
      <c r="AB20" s="71"/>
      <c r="AC20" s="71"/>
      <c r="AD20" s="71"/>
      <c r="AE20" s="71"/>
      <c r="AF20" s="71"/>
      <c r="AG20" s="71"/>
      <c r="AH20" s="71"/>
    </row>
    <row r="21" spans="1:34" ht="16.5" customHeight="1" x14ac:dyDescent="0.3">
      <c r="A21" s="22"/>
      <c r="B21" s="184" t="str">
        <f>IF(U21="","","!")</f>
        <v>!</v>
      </c>
      <c r="C21" s="86" t="s">
        <v>190</v>
      </c>
      <c r="D21" s="86"/>
      <c r="H21" s="345"/>
      <c r="I21" s="345"/>
      <c r="J21" s="345"/>
      <c r="K21" s="345"/>
      <c r="L21" s="345"/>
      <c r="M21" s="345"/>
      <c r="N21" s="345"/>
      <c r="O21" s="345"/>
      <c r="P21" s="345"/>
      <c r="Q21" s="345"/>
      <c r="R21" s="345"/>
      <c r="T21" s="178" t="str">
        <f>IF(U21="","","ï")</f>
        <v>ï</v>
      </c>
      <c r="U21" s="221" t="str">
        <f>IF(ISBLANK(H21)=TRUE,TBS_Fehler_2,"")</f>
        <v>Bitte dieses Feld (roter Bereich = Pflichtfeld) ausfüllen!</v>
      </c>
      <c r="V21" s="22"/>
      <c r="W21" s="22"/>
      <c r="X21" s="71"/>
      <c r="Y21" s="71"/>
      <c r="Z21" s="71"/>
      <c r="AA21" s="71"/>
      <c r="AB21" s="71"/>
      <c r="AC21" s="71"/>
      <c r="AD21" s="71"/>
      <c r="AE21" s="71"/>
      <c r="AF21" s="71"/>
      <c r="AG21" s="71"/>
      <c r="AH21" s="71"/>
    </row>
    <row r="22" spans="1:34" ht="3.75" customHeight="1" x14ac:dyDescent="0.3">
      <c r="A22" s="22"/>
      <c r="B22" s="182"/>
      <c r="C22" s="86"/>
      <c r="D22" s="86"/>
      <c r="T22" s="71"/>
      <c r="U22" s="24"/>
      <c r="V22" s="22"/>
      <c r="W22" s="22"/>
      <c r="X22" s="71"/>
      <c r="Y22" s="71"/>
      <c r="Z22" s="71"/>
      <c r="AA22" s="71"/>
      <c r="AB22" s="71"/>
      <c r="AC22" s="71"/>
      <c r="AD22" s="71"/>
      <c r="AE22" s="71"/>
      <c r="AF22" s="71"/>
      <c r="AG22" s="71"/>
      <c r="AH22" s="71"/>
    </row>
    <row r="23" spans="1:34" ht="16.5" customHeight="1" x14ac:dyDescent="0.3">
      <c r="A23" s="22"/>
      <c r="B23" s="184" t="str">
        <f>IF(U23="","","!")</f>
        <v>!</v>
      </c>
      <c r="C23" s="86" t="s">
        <v>133</v>
      </c>
      <c r="D23" s="86"/>
      <c r="H23" s="345"/>
      <c r="I23" s="345"/>
      <c r="J23" s="345"/>
      <c r="K23" s="345"/>
      <c r="L23" s="345"/>
      <c r="M23" s="345"/>
      <c r="N23" s="345"/>
      <c r="O23" s="345"/>
      <c r="P23" s="345"/>
      <c r="Q23" s="345"/>
      <c r="R23" s="345"/>
      <c r="T23" s="178" t="str">
        <f>IF(U23="","","ï")</f>
        <v>ï</v>
      </c>
      <c r="U23" s="221" t="str">
        <f>IF(ISBLANK(H23)=TRUE,TBS_Fehler_2,"")</f>
        <v>Bitte dieses Feld (roter Bereich = Pflichtfeld) ausfüllen!</v>
      </c>
      <c r="V23" s="22"/>
      <c r="W23" s="22"/>
      <c r="X23" s="71"/>
      <c r="Y23" s="71"/>
      <c r="Z23" s="71"/>
      <c r="AA23" s="71"/>
      <c r="AB23" s="71"/>
      <c r="AC23" s="71"/>
      <c r="AD23" s="71"/>
      <c r="AE23" s="71"/>
      <c r="AF23" s="71"/>
      <c r="AG23" s="71"/>
      <c r="AH23" s="71"/>
    </row>
    <row r="24" spans="1:34" ht="16.5" customHeight="1" x14ac:dyDescent="0.3">
      <c r="A24" s="22"/>
      <c r="B24" s="182"/>
      <c r="C24" s="86"/>
      <c r="D24" s="86"/>
      <c r="E24" s="86"/>
      <c r="J24" s="195"/>
      <c r="K24" s="195"/>
      <c r="L24" s="195"/>
      <c r="M24" s="195"/>
      <c r="N24" s="195"/>
      <c r="O24" s="195"/>
      <c r="P24" s="195"/>
      <c r="Q24" s="195"/>
      <c r="R24" s="195"/>
      <c r="T24" s="71"/>
      <c r="U24" s="24"/>
      <c r="V24" s="22"/>
      <c r="W24" s="22"/>
      <c r="X24" s="71"/>
      <c r="Y24" s="71"/>
      <c r="Z24" s="71"/>
      <c r="AA24" s="71"/>
      <c r="AB24" s="71"/>
      <c r="AC24" s="71"/>
      <c r="AD24" s="71"/>
      <c r="AE24" s="71"/>
      <c r="AF24" s="71"/>
      <c r="AG24" s="71"/>
      <c r="AH24" s="71"/>
    </row>
    <row r="25" spans="1:34" ht="22.5" customHeight="1" x14ac:dyDescent="0.3">
      <c r="A25" s="22"/>
      <c r="B25" s="182"/>
      <c r="C25" s="338" t="s">
        <v>345</v>
      </c>
      <c r="D25" s="338"/>
      <c r="E25" s="338"/>
      <c r="F25" s="338"/>
      <c r="G25" s="338"/>
      <c r="H25" s="338"/>
      <c r="I25" s="338"/>
      <c r="J25" s="338"/>
      <c r="K25" s="338"/>
      <c r="L25" s="338"/>
      <c r="M25" s="338"/>
      <c r="N25" s="338"/>
      <c r="O25" s="338"/>
      <c r="P25" s="338"/>
      <c r="Q25" s="338"/>
      <c r="R25" s="338"/>
      <c r="T25" s="71"/>
      <c r="U25" s="24"/>
      <c r="V25" s="22"/>
      <c r="W25" s="22"/>
      <c r="X25" s="71"/>
      <c r="Y25" s="71"/>
      <c r="Z25" s="71"/>
      <c r="AA25" s="71"/>
      <c r="AB25" s="71"/>
      <c r="AC25" s="71"/>
      <c r="AD25" s="71"/>
      <c r="AE25" s="71"/>
      <c r="AF25" s="71"/>
      <c r="AG25" s="71"/>
      <c r="AH25" s="71"/>
    </row>
    <row r="26" spans="1:34" ht="16.5" customHeight="1" x14ac:dyDescent="0.3">
      <c r="A26" s="22"/>
      <c r="B26" s="184" t="str">
        <f>IF(U26="","","!")</f>
        <v>!</v>
      </c>
      <c r="C26" s="148" t="s">
        <v>226</v>
      </c>
      <c r="D26" s="86"/>
      <c r="E26" s="86"/>
      <c r="H26" s="371" t="s">
        <v>126</v>
      </c>
      <c r="I26" s="371"/>
      <c r="J26" s="371"/>
      <c r="K26" s="351" t="str">
        <f>INDEX(EA_WW_System,EA_WW_System_Select)</f>
        <v>Bitte wählen…</v>
      </c>
      <c r="L26" s="351"/>
      <c r="M26" s="351"/>
      <c r="N26" s="351"/>
      <c r="O26" s="351"/>
      <c r="P26" s="351"/>
      <c r="Q26" s="351"/>
      <c r="R26" s="351"/>
      <c r="T26" s="178" t="str">
        <f>IF(U26="","","ï")</f>
        <v>ï</v>
      </c>
      <c r="U26" s="221" t="str">
        <f>IF(EA_WW_System_Select=1,TBS_Fehler_1,"")</f>
        <v>Bitte eine Auswahl treffen!</v>
      </c>
      <c r="V26" s="54"/>
      <c r="W26" s="54"/>
      <c r="X26" s="141"/>
      <c r="Y26" s="71"/>
      <c r="Z26" s="71"/>
      <c r="AA26" s="71"/>
      <c r="AB26" s="71"/>
      <c r="AC26" s="71"/>
      <c r="AD26" s="71"/>
      <c r="AE26" s="71"/>
      <c r="AF26" s="71"/>
      <c r="AG26" s="71"/>
      <c r="AH26" s="71"/>
    </row>
    <row r="27" spans="1:34" ht="3.75" customHeight="1" x14ac:dyDescent="0.3">
      <c r="A27" s="22"/>
      <c r="B27" s="182"/>
      <c r="T27" s="71"/>
      <c r="U27" s="30"/>
      <c r="V27" s="22"/>
      <c r="W27" s="22"/>
      <c r="X27" s="71"/>
      <c r="Y27" s="71"/>
      <c r="Z27" s="71"/>
      <c r="AA27" s="71"/>
      <c r="AB27" s="71"/>
      <c r="AC27" s="71"/>
      <c r="AD27" s="71"/>
      <c r="AE27" s="71"/>
      <c r="AF27" s="71"/>
      <c r="AG27" s="71"/>
      <c r="AH27" s="71"/>
    </row>
    <row r="28" spans="1:34" ht="16.5" customHeight="1" x14ac:dyDescent="0.3">
      <c r="A28" s="22"/>
      <c r="B28" s="184" t="str">
        <f>IF(U28="","","!")</f>
        <v>!</v>
      </c>
      <c r="C28" s="148" t="s">
        <v>227</v>
      </c>
      <c r="D28" s="86"/>
      <c r="E28" s="86"/>
      <c r="H28" s="371" t="s">
        <v>127</v>
      </c>
      <c r="I28" s="371"/>
      <c r="J28" s="371"/>
      <c r="K28" s="351" t="str">
        <f>INDEX(EA_RH_System,EA_RH_System_Select)</f>
        <v>Bitte wählen…</v>
      </c>
      <c r="L28" s="351"/>
      <c r="M28" s="351"/>
      <c r="N28" s="351"/>
      <c r="O28" s="351"/>
      <c r="P28" s="351"/>
      <c r="Q28" s="351"/>
      <c r="R28" s="351"/>
      <c r="T28" s="178" t="str">
        <f>IF(U28="","","ï")</f>
        <v>ï</v>
      </c>
      <c r="U28" s="221" t="str">
        <f>IF(EA_RH_System_Select=1,TBS_Fehler_1,"")</f>
        <v>Bitte eine Auswahl treffen!</v>
      </c>
      <c r="V28" s="54"/>
      <c r="W28" s="54"/>
      <c r="X28" s="71"/>
      <c r="Y28" s="71"/>
      <c r="Z28" s="71"/>
      <c r="AA28" s="71"/>
      <c r="AB28" s="71"/>
      <c r="AC28" s="71"/>
      <c r="AD28" s="71"/>
      <c r="AE28" s="71"/>
      <c r="AF28" s="71"/>
      <c r="AG28" s="71"/>
      <c r="AH28" s="71"/>
    </row>
    <row r="29" spans="1:34" ht="3.75" customHeight="1" x14ac:dyDescent="0.3">
      <c r="A29" s="22"/>
      <c r="B29" s="182"/>
      <c r="T29" s="71"/>
      <c r="U29" s="24"/>
      <c r="V29" s="22"/>
      <c r="W29" s="22"/>
      <c r="X29" s="71"/>
      <c r="Y29" s="71"/>
      <c r="Z29" s="71"/>
      <c r="AA29" s="71"/>
      <c r="AB29" s="71"/>
      <c r="AC29" s="71"/>
      <c r="AD29" s="71"/>
      <c r="AE29" s="71"/>
      <c r="AF29" s="71"/>
      <c r="AG29" s="71"/>
      <c r="AH29" s="71"/>
    </row>
    <row r="30" spans="1:34" ht="16.5" customHeight="1" x14ac:dyDescent="0.3">
      <c r="A30" s="22"/>
      <c r="B30" s="184" t="str">
        <f>IF(U30="","","!")</f>
        <v>!</v>
      </c>
      <c r="C30" s="86"/>
      <c r="E30" s="86" t="s">
        <v>349</v>
      </c>
      <c r="K30" s="351" t="str">
        <f>INDEX(Tabelle_BestandRH,BestandRH_Select)</f>
        <v>Bitte wählen…</v>
      </c>
      <c r="L30" s="351"/>
      <c r="M30" s="351"/>
      <c r="N30" s="351"/>
      <c r="O30" s="351"/>
      <c r="P30" s="351"/>
      <c r="Q30" s="351"/>
      <c r="R30" s="351"/>
      <c r="T30" s="178" t="str">
        <f>IF(U30="","","ï")</f>
        <v>ï</v>
      </c>
      <c r="U30" s="221" t="str">
        <f>IF(BestandRH_Select=1,TBS_Fehler_1,"")</f>
        <v>Bitte eine Auswahl treffen!</v>
      </c>
      <c r="V30" s="22"/>
      <c r="W30" s="22"/>
      <c r="X30" s="71"/>
      <c r="Y30" s="71"/>
      <c r="Z30" s="71"/>
      <c r="AA30" s="71"/>
      <c r="AB30" s="71"/>
      <c r="AC30" s="71"/>
      <c r="AD30" s="71"/>
      <c r="AE30" s="71"/>
      <c r="AF30" s="71"/>
      <c r="AG30" s="71"/>
      <c r="AH30" s="71"/>
    </row>
    <row r="31" spans="1:34" ht="3.75" customHeight="1" x14ac:dyDescent="0.3">
      <c r="A31" s="22"/>
      <c r="B31" s="182"/>
      <c r="C31" s="86"/>
      <c r="T31" s="71"/>
      <c r="U31" s="24"/>
      <c r="V31" s="22"/>
      <c r="W31" s="22"/>
      <c r="X31" s="71"/>
      <c r="Y31" s="71"/>
      <c r="Z31" s="71"/>
      <c r="AA31" s="71"/>
      <c r="AB31" s="71"/>
      <c r="AC31" s="71"/>
      <c r="AD31" s="71"/>
      <c r="AE31" s="71"/>
      <c r="AF31" s="71"/>
      <c r="AG31" s="71"/>
      <c r="AH31" s="71"/>
    </row>
    <row r="32" spans="1:34" ht="16.5" customHeight="1" x14ac:dyDescent="0.3">
      <c r="A32" s="22"/>
      <c r="B32" s="184" t="str">
        <f>IF(U32="","","!")</f>
        <v/>
      </c>
      <c r="E32" s="86" t="str">
        <f>IF(BestandRH_Select=4,"Baujahr des Kessels lt. Typenschild","")</f>
        <v/>
      </c>
      <c r="F32" s="20"/>
      <c r="K32" s="350"/>
      <c r="L32" s="350"/>
      <c r="M32" s="350"/>
      <c r="N32" s="350"/>
      <c r="O32" s="350"/>
      <c r="P32" s="350"/>
      <c r="Q32" s="350"/>
      <c r="R32" s="350"/>
      <c r="T32" s="178" t="str">
        <f>IF(U32="","","ï")</f>
        <v/>
      </c>
      <c r="U32" s="221" t="str">
        <f>IF(AND(BestandRH_Select=4,K32=""),TBS_Fehler_2,IF(AND(BestandRH_Select&lt;4,K32&lt;&gt;""),TBS_Fehler_3,""))</f>
        <v/>
      </c>
      <c r="V32" s="22"/>
      <c r="W32" s="22"/>
      <c r="X32" s="71"/>
      <c r="Y32" s="71"/>
      <c r="Z32" s="71"/>
      <c r="AA32" s="71"/>
      <c r="AB32" s="71"/>
      <c r="AC32" s="71"/>
      <c r="AD32" s="71"/>
      <c r="AE32" s="71"/>
      <c r="AF32" s="71"/>
      <c r="AG32" s="71"/>
      <c r="AH32" s="71"/>
    </row>
    <row r="33" spans="1:34" ht="16.5" customHeight="1" x14ac:dyDescent="0.3">
      <c r="A33" s="22"/>
      <c r="B33" s="182"/>
      <c r="C33" s="86"/>
      <c r="T33" s="71"/>
      <c r="U33" s="24"/>
      <c r="V33" s="22"/>
      <c r="W33" s="22"/>
      <c r="X33" s="71"/>
      <c r="Y33" s="71"/>
      <c r="Z33" s="71"/>
      <c r="AA33" s="71"/>
      <c r="AB33" s="71"/>
      <c r="AC33" s="71"/>
      <c r="AD33" s="71"/>
      <c r="AE33" s="71"/>
      <c r="AF33" s="71"/>
      <c r="AG33" s="71"/>
      <c r="AH33" s="71"/>
    </row>
    <row r="34" spans="1:34" ht="30" customHeight="1" x14ac:dyDescent="0.3">
      <c r="A34" s="22"/>
      <c r="C34" s="339" t="s">
        <v>195</v>
      </c>
      <c r="D34" s="339"/>
      <c r="E34" s="339"/>
      <c r="F34" s="339"/>
      <c r="G34" s="339"/>
      <c r="H34" s="339"/>
      <c r="I34" s="339"/>
      <c r="J34" s="339"/>
      <c r="K34" s="339"/>
      <c r="L34" s="339"/>
      <c r="M34" s="339"/>
      <c r="N34" s="339"/>
      <c r="O34" s="339"/>
      <c r="P34" s="339"/>
      <c r="Q34" s="339"/>
      <c r="R34" s="339"/>
      <c r="T34" s="71"/>
      <c r="U34" s="24"/>
      <c r="V34" s="22"/>
      <c r="W34" s="22"/>
      <c r="X34" s="71"/>
      <c r="Y34" s="71"/>
      <c r="Z34" s="71"/>
      <c r="AA34" s="71"/>
      <c r="AB34" s="71"/>
      <c r="AC34" s="71"/>
      <c r="AD34" s="71"/>
      <c r="AE34" s="71"/>
      <c r="AF34" s="71"/>
      <c r="AG34" s="71"/>
      <c r="AH34" s="71"/>
    </row>
    <row r="35" spans="1:34" ht="11.25" customHeight="1" x14ac:dyDescent="0.3">
      <c r="A35" s="22"/>
      <c r="T35" s="71"/>
      <c r="U35" s="30"/>
      <c r="V35" s="22"/>
      <c r="W35" s="22"/>
      <c r="X35" s="71"/>
      <c r="Y35" s="71"/>
      <c r="Z35" s="71"/>
      <c r="AA35" s="71"/>
      <c r="AB35" s="71"/>
      <c r="AC35" s="71"/>
      <c r="AD35" s="71"/>
      <c r="AE35" s="71"/>
      <c r="AF35" s="71"/>
      <c r="AG35" s="71"/>
      <c r="AH35" s="71"/>
    </row>
    <row r="36" spans="1:34" ht="16.5" customHeight="1" x14ac:dyDescent="0.3">
      <c r="A36" s="22"/>
      <c r="B36" s="184" t="str">
        <f>IF(U36="","","!")</f>
        <v>!</v>
      </c>
      <c r="C36" s="166"/>
      <c r="D36" s="166"/>
      <c r="E36" s="340" t="s">
        <v>228</v>
      </c>
      <c r="F36" s="341"/>
      <c r="G36" s="341"/>
      <c r="H36" s="341"/>
      <c r="I36" s="341"/>
      <c r="J36" s="341"/>
      <c r="K36" s="341"/>
      <c r="L36" s="341"/>
      <c r="M36" s="341"/>
      <c r="N36" s="341"/>
      <c r="O36" s="341"/>
      <c r="P36" s="341"/>
      <c r="Q36" s="341"/>
      <c r="R36" s="342"/>
      <c r="T36" s="178" t="str">
        <f>IF(U36="","","ï")</f>
        <v>ï</v>
      </c>
      <c r="U36" s="221" t="str">
        <f>IF(EA_Nachweis=0,TBS_Fehler_1,"")</f>
        <v>Bitte eine Auswahl treffen!</v>
      </c>
      <c r="V36" s="22"/>
      <c r="W36" s="22"/>
      <c r="X36" s="71"/>
      <c r="Y36" s="71"/>
      <c r="Z36" s="71"/>
      <c r="AA36" s="71"/>
      <c r="AB36" s="71"/>
      <c r="AC36" s="71"/>
      <c r="AD36" s="71"/>
      <c r="AE36" s="71"/>
      <c r="AF36" s="71"/>
      <c r="AG36" s="71"/>
      <c r="AH36" s="71"/>
    </row>
    <row r="37" spans="1:34" ht="16.5" customHeight="1" x14ac:dyDescent="0.3">
      <c r="A37" s="22"/>
      <c r="B37" s="184" t="str">
        <f>IF(U37="","","!")</f>
        <v>!</v>
      </c>
      <c r="C37" s="166"/>
      <c r="D37" s="166"/>
      <c r="E37" s="346" t="s">
        <v>231</v>
      </c>
      <c r="F37" s="347"/>
      <c r="G37" s="347"/>
      <c r="H37" s="347"/>
      <c r="I37" s="347"/>
      <c r="J37" s="347"/>
      <c r="K37" s="347"/>
      <c r="L37" s="347"/>
      <c r="M37" s="347"/>
      <c r="N37" s="347"/>
      <c r="O37" s="347"/>
      <c r="P37" s="347"/>
      <c r="Q37" s="347"/>
      <c r="R37" s="348"/>
      <c r="T37" s="178" t="str">
        <f>IF(U37="","","ï")</f>
        <v>ï</v>
      </c>
      <c r="U37" s="221" t="str">
        <f>IF(EA_Nachweis=0,TBS_Fehler_1,"")</f>
        <v>Bitte eine Auswahl treffen!</v>
      </c>
      <c r="V37" s="22"/>
      <c r="W37" s="22"/>
      <c r="X37" s="71"/>
      <c r="Y37" s="71"/>
      <c r="Z37" s="71"/>
      <c r="AA37" s="71"/>
      <c r="AB37" s="71"/>
      <c r="AC37" s="71"/>
      <c r="AD37" s="71"/>
      <c r="AE37" s="71"/>
      <c r="AF37" s="71"/>
      <c r="AG37" s="71"/>
      <c r="AH37" s="71"/>
    </row>
    <row r="38" spans="1:34" ht="16.5" customHeight="1" x14ac:dyDescent="0.3">
      <c r="A38" s="22"/>
      <c r="B38" s="184" t="str">
        <f>IF(U38="","","!")</f>
        <v>!</v>
      </c>
      <c r="C38" s="173"/>
      <c r="D38" s="173"/>
      <c r="E38" s="372" t="s">
        <v>229</v>
      </c>
      <c r="F38" s="372"/>
      <c r="G38" s="372"/>
      <c r="H38" s="372"/>
      <c r="I38" s="372"/>
      <c r="J38" s="372"/>
      <c r="K38" s="372"/>
      <c r="L38" s="372"/>
      <c r="M38" s="372"/>
      <c r="N38" s="372"/>
      <c r="O38" s="372"/>
      <c r="P38" s="372"/>
      <c r="Q38" s="372"/>
      <c r="R38" s="373"/>
      <c r="T38" s="178" t="str">
        <f>IF(U38="","","ï")</f>
        <v>ï</v>
      </c>
      <c r="U38" s="221" t="str">
        <f>IF(EA_Nachweis=0,TBS_Fehler_1,"")</f>
        <v>Bitte eine Auswahl treffen!</v>
      </c>
      <c r="V38" s="22"/>
      <c r="W38" s="22"/>
      <c r="X38" s="71"/>
      <c r="Y38" s="71"/>
      <c r="Z38" s="71"/>
      <c r="AA38" s="71"/>
      <c r="AB38" s="71"/>
      <c r="AC38" s="71"/>
      <c r="AD38" s="71"/>
      <c r="AE38" s="71"/>
      <c r="AF38" s="71"/>
      <c r="AG38" s="71"/>
      <c r="AH38" s="71"/>
    </row>
    <row r="39" spans="1:34" ht="16.5" customHeight="1" x14ac:dyDescent="0.3">
      <c r="A39" s="22"/>
      <c r="B39" s="184" t="str">
        <f>IF(U39="","","!")</f>
        <v>!</v>
      </c>
      <c r="C39" s="167"/>
      <c r="D39" s="167"/>
      <c r="E39" s="343" t="s">
        <v>232</v>
      </c>
      <c r="F39" s="343"/>
      <c r="G39" s="343"/>
      <c r="H39" s="343"/>
      <c r="I39" s="343"/>
      <c r="J39" s="343"/>
      <c r="K39" s="343"/>
      <c r="L39" s="343"/>
      <c r="M39" s="343"/>
      <c r="N39" s="343"/>
      <c r="O39" s="343"/>
      <c r="P39" s="343"/>
      <c r="Q39" s="343"/>
      <c r="R39" s="344"/>
      <c r="T39" s="178" t="str">
        <f>IF(U39="","","ï")</f>
        <v>ï</v>
      </c>
      <c r="U39" s="221" t="str">
        <f>IF(EA_Nachweis=0,TBS_Fehler_1,"")</f>
        <v>Bitte eine Auswahl treffen!</v>
      </c>
      <c r="V39" s="22"/>
      <c r="W39" s="22"/>
      <c r="X39" s="71"/>
      <c r="Y39" s="71"/>
      <c r="Z39" s="71"/>
      <c r="AA39" s="71"/>
      <c r="AB39" s="71"/>
      <c r="AC39" s="71"/>
      <c r="AD39" s="71"/>
      <c r="AE39" s="71"/>
      <c r="AF39" s="71"/>
      <c r="AG39" s="71"/>
      <c r="AH39" s="71"/>
    </row>
    <row r="40" spans="1:34" ht="3.75" customHeight="1" x14ac:dyDescent="0.3">
      <c r="A40" s="22"/>
      <c r="C40" s="168"/>
      <c r="D40" s="168"/>
      <c r="R40" s="169"/>
      <c r="T40" s="71"/>
      <c r="U40" s="24"/>
      <c r="V40" s="22"/>
      <c r="W40" s="22"/>
      <c r="X40" s="71"/>
      <c r="Y40" s="71"/>
      <c r="Z40" s="71"/>
      <c r="AA40" s="71"/>
      <c r="AB40" s="71"/>
      <c r="AC40" s="71"/>
      <c r="AD40" s="71"/>
      <c r="AE40" s="71"/>
      <c r="AF40" s="71"/>
      <c r="AG40" s="71"/>
      <c r="AH40" s="71"/>
    </row>
    <row r="41" spans="1:34" ht="12.75" customHeight="1" x14ac:dyDescent="0.3">
      <c r="A41" s="22"/>
      <c r="C41" s="170"/>
      <c r="D41" s="170"/>
      <c r="E41" s="336" t="s">
        <v>230</v>
      </c>
      <c r="F41" s="336"/>
      <c r="G41" s="336"/>
      <c r="H41" s="336"/>
      <c r="I41" s="336"/>
      <c r="J41" s="336"/>
      <c r="K41" s="336"/>
      <c r="L41" s="336"/>
      <c r="M41" s="336"/>
      <c r="N41" s="336"/>
      <c r="O41" s="336"/>
      <c r="P41" s="336"/>
      <c r="Q41" s="336"/>
      <c r="R41" s="337"/>
      <c r="T41" s="71"/>
      <c r="U41" s="24"/>
      <c r="V41" s="22"/>
      <c r="W41" s="22"/>
      <c r="X41" s="71"/>
      <c r="Y41" s="71"/>
      <c r="Z41" s="71"/>
      <c r="AA41" s="71"/>
      <c r="AB41" s="71"/>
      <c r="AC41" s="71"/>
      <c r="AD41" s="71"/>
      <c r="AE41" s="71"/>
      <c r="AF41" s="71"/>
      <c r="AG41" s="71"/>
      <c r="AH41" s="71"/>
    </row>
    <row r="42" spans="1:34" ht="30.75" customHeight="1" x14ac:dyDescent="0.3">
      <c r="A42" s="22"/>
      <c r="C42" s="170"/>
      <c r="D42" s="170"/>
      <c r="E42" s="369" t="s">
        <v>233</v>
      </c>
      <c r="F42" s="369"/>
      <c r="G42" s="369"/>
      <c r="H42" s="369"/>
      <c r="I42" s="369"/>
      <c r="J42" s="369"/>
      <c r="K42" s="369"/>
      <c r="L42" s="369"/>
      <c r="M42" s="369"/>
      <c r="N42" s="369"/>
      <c r="O42" s="369"/>
      <c r="P42" s="369"/>
      <c r="Q42" s="369"/>
      <c r="R42" s="370"/>
      <c r="T42" s="71"/>
      <c r="U42" s="24"/>
      <c r="V42" s="22"/>
      <c r="W42" s="22"/>
      <c r="X42" s="141"/>
      <c r="Y42" s="71"/>
      <c r="Z42" s="71"/>
      <c r="AA42" s="71"/>
      <c r="AB42" s="71"/>
      <c r="AC42" s="71"/>
      <c r="AD42" s="71"/>
      <c r="AE42" s="71"/>
      <c r="AF42" s="71"/>
      <c r="AG42" s="71"/>
      <c r="AH42" s="71"/>
    </row>
    <row r="43" spans="1:34" ht="16.5" customHeight="1" x14ac:dyDescent="0.3">
      <c r="A43" s="22"/>
      <c r="C43" s="170"/>
      <c r="D43" s="170"/>
      <c r="E43" s="387" t="s">
        <v>48</v>
      </c>
      <c r="F43" s="388"/>
      <c r="G43" s="389"/>
      <c r="H43" s="384" t="s">
        <v>222</v>
      </c>
      <c r="I43" s="385"/>
      <c r="J43" s="385"/>
      <c r="K43" s="385"/>
      <c r="L43" s="386"/>
      <c r="M43" s="363" t="s">
        <v>201</v>
      </c>
      <c r="N43" s="364"/>
      <c r="O43" s="352" t="s">
        <v>224</v>
      </c>
      <c r="P43" s="353"/>
      <c r="Q43" s="354"/>
      <c r="R43" s="193"/>
      <c r="T43" s="71"/>
      <c r="U43" s="57"/>
      <c r="V43" s="194"/>
      <c r="W43" s="194"/>
      <c r="X43" s="71"/>
      <c r="Y43" s="71"/>
      <c r="Z43" s="71"/>
      <c r="AA43" s="71"/>
      <c r="AB43" s="71"/>
      <c r="AC43" s="71"/>
      <c r="AD43" s="71"/>
      <c r="AE43" s="71"/>
      <c r="AF43" s="71"/>
      <c r="AG43" s="71"/>
      <c r="AH43" s="71"/>
    </row>
    <row r="44" spans="1:34" ht="16.5" customHeight="1" x14ac:dyDescent="0.3">
      <c r="A44" s="22"/>
      <c r="C44" s="171"/>
      <c r="D44" s="171"/>
      <c r="E44" s="390"/>
      <c r="F44" s="391"/>
      <c r="G44" s="392"/>
      <c r="H44" s="384" t="s">
        <v>83</v>
      </c>
      <c r="I44" s="386"/>
      <c r="J44" s="384" t="s">
        <v>82</v>
      </c>
      <c r="K44" s="385"/>
      <c r="L44" s="386"/>
      <c r="M44" s="365"/>
      <c r="N44" s="366"/>
      <c r="O44" s="355"/>
      <c r="P44" s="356"/>
      <c r="Q44" s="357"/>
      <c r="R44" s="193"/>
      <c r="S44" s="76"/>
      <c r="T44" s="78"/>
      <c r="U44" s="57"/>
      <c r="V44" s="194"/>
      <c r="W44" s="194"/>
      <c r="X44" s="174"/>
      <c r="Y44" s="71"/>
      <c r="Z44" s="71"/>
      <c r="AA44" s="71"/>
      <c r="AB44" s="71"/>
      <c r="AC44" s="71"/>
      <c r="AD44" s="71"/>
      <c r="AE44" s="71"/>
      <c r="AF44" s="71"/>
      <c r="AG44" s="71"/>
      <c r="AH44" s="71"/>
    </row>
    <row r="45" spans="1:34" ht="16.5" customHeight="1" x14ac:dyDescent="0.3">
      <c r="A45" s="22"/>
      <c r="C45" s="171"/>
      <c r="D45" s="171"/>
      <c r="E45" s="382" t="str">
        <f>"1: "&amp;IF(EA_RH_System_Select=1,"Nicht erneuerbares System",INDEX(EA_RH_System,EA_RH_System_Select))</f>
        <v>1: Nicht erneuerbares System</v>
      </c>
      <c r="F45" s="372"/>
      <c r="G45" s="373"/>
      <c r="H45" s="374"/>
      <c r="I45" s="376"/>
      <c r="J45" s="374"/>
      <c r="K45" s="375"/>
      <c r="L45" s="376"/>
      <c r="M45" s="361" t="str">
        <f>IF(OR(EA_Nachweis&lt;4,Basis_Status&gt;0),"",'7'!F18)</f>
        <v/>
      </c>
      <c r="N45" s="362"/>
      <c r="O45" s="358" t="str">
        <f>IF(Auswahl!$M$4=1,"Õ","")</f>
        <v/>
      </c>
      <c r="P45" s="359"/>
      <c r="Q45" s="360"/>
      <c r="R45" s="172"/>
      <c r="S45" s="76"/>
      <c r="T45" s="78"/>
      <c r="U45" s="220"/>
      <c r="V45" s="194"/>
      <c r="W45" s="194"/>
      <c r="X45" s="71"/>
      <c r="Y45" s="71"/>
      <c r="Z45" s="71"/>
      <c r="AA45" s="71"/>
      <c r="AB45" s="71"/>
      <c r="AC45" s="71"/>
      <c r="AD45" s="71"/>
      <c r="AE45" s="71"/>
      <c r="AF45" s="71"/>
      <c r="AG45" s="71"/>
      <c r="AH45" s="71"/>
    </row>
    <row r="46" spans="1:34" ht="16.5" customHeight="1" x14ac:dyDescent="0.3">
      <c r="A46" s="22"/>
      <c r="C46" s="171"/>
      <c r="D46" s="171"/>
      <c r="E46" s="382" t="s">
        <v>196</v>
      </c>
      <c r="F46" s="372"/>
      <c r="G46" s="373"/>
      <c r="H46" s="374"/>
      <c r="I46" s="376"/>
      <c r="J46" s="374"/>
      <c r="K46" s="375"/>
      <c r="L46" s="376"/>
      <c r="M46" s="361" t="str">
        <f>IF(OR(EA_Nachweis&lt;4,Basis_Status&gt;0),"",'7'!F19)</f>
        <v/>
      </c>
      <c r="N46" s="362"/>
      <c r="O46" s="358" t="str">
        <f>IF(Auswahl!$M$4=2,"Õ","")</f>
        <v/>
      </c>
      <c r="P46" s="359"/>
      <c r="Q46" s="360"/>
      <c r="R46" s="172"/>
      <c r="S46" s="76"/>
      <c r="T46" s="78"/>
      <c r="U46" s="318"/>
      <c r="V46" s="194"/>
      <c r="W46" s="194"/>
      <c r="X46" s="71"/>
      <c r="Y46" s="71"/>
      <c r="Z46" s="71"/>
      <c r="AA46" s="71"/>
      <c r="AB46" s="71"/>
      <c r="AC46" s="71"/>
      <c r="AD46" s="71"/>
      <c r="AE46" s="71"/>
      <c r="AF46" s="71"/>
      <c r="AG46" s="71"/>
      <c r="AH46" s="71"/>
    </row>
    <row r="47" spans="1:34" ht="16.5" customHeight="1" x14ac:dyDescent="0.3">
      <c r="A47" s="22"/>
      <c r="C47" s="171"/>
      <c r="D47" s="171"/>
      <c r="E47" s="382" t="s">
        <v>197</v>
      </c>
      <c r="F47" s="372"/>
      <c r="G47" s="373"/>
      <c r="H47" s="374"/>
      <c r="I47" s="376"/>
      <c r="J47" s="374"/>
      <c r="K47" s="375"/>
      <c r="L47" s="376"/>
      <c r="M47" s="361" t="str">
        <f>IF(OR(EA_Nachweis&lt;4,Basis_Status&gt;0),"",'7'!F20)</f>
        <v/>
      </c>
      <c r="N47" s="362"/>
      <c r="O47" s="358" t="str">
        <f>IF(Auswahl!$M$4=3,"Õ","")</f>
        <v/>
      </c>
      <c r="P47" s="359"/>
      <c r="Q47" s="360"/>
      <c r="R47" s="172"/>
      <c r="S47" s="76"/>
      <c r="T47" s="78"/>
      <c r="U47" s="57"/>
      <c r="V47" s="194"/>
      <c r="W47" s="194"/>
      <c r="X47" s="71"/>
      <c r="Y47" s="71"/>
      <c r="Z47" s="71"/>
      <c r="AA47" s="71"/>
      <c r="AB47" s="71"/>
      <c r="AC47" s="71"/>
      <c r="AD47" s="71"/>
      <c r="AE47" s="71"/>
      <c r="AF47" s="71"/>
      <c r="AG47" s="71"/>
      <c r="AH47" s="71"/>
    </row>
    <row r="48" spans="1:34" ht="16.5" customHeight="1" x14ac:dyDescent="0.3">
      <c r="A48" s="22"/>
      <c r="C48" s="171"/>
      <c r="D48" s="171"/>
      <c r="E48" s="382" t="s">
        <v>198</v>
      </c>
      <c r="F48" s="372"/>
      <c r="G48" s="373"/>
      <c r="H48" s="374"/>
      <c r="I48" s="376"/>
      <c r="J48" s="374"/>
      <c r="K48" s="375"/>
      <c r="L48" s="376"/>
      <c r="M48" s="361" t="str">
        <f>IF(OR(EA_Nachweis&lt;4,Basis_Status&gt;0),"",'7'!F21)</f>
        <v/>
      </c>
      <c r="N48" s="362"/>
      <c r="O48" s="358" t="str">
        <f>IF(Auswahl!$M$4=4,"Õ","")</f>
        <v/>
      </c>
      <c r="P48" s="359"/>
      <c r="Q48" s="360"/>
      <c r="R48" s="172"/>
      <c r="S48" s="76"/>
      <c r="T48" s="78"/>
      <c r="U48" s="57"/>
      <c r="V48" s="194"/>
      <c r="W48" s="194"/>
      <c r="X48" s="71"/>
      <c r="Y48" s="71"/>
      <c r="Z48" s="71"/>
      <c r="AA48" s="71"/>
      <c r="AB48" s="71"/>
      <c r="AC48" s="71"/>
      <c r="AD48" s="71"/>
      <c r="AE48" s="71"/>
      <c r="AF48" s="71"/>
      <c r="AG48" s="71"/>
      <c r="AH48" s="71"/>
    </row>
    <row r="49" spans="1:34" ht="16.5" customHeight="1" x14ac:dyDescent="0.3">
      <c r="A49" s="22"/>
      <c r="C49" s="171"/>
      <c r="D49" s="171"/>
      <c r="E49" s="382" t="s">
        <v>199</v>
      </c>
      <c r="F49" s="372"/>
      <c r="G49" s="373"/>
      <c r="H49" s="374"/>
      <c r="I49" s="376"/>
      <c r="J49" s="374"/>
      <c r="K49" s="375"/>
      <c r="L49" s="376"/>
      <c r="M49" s="361" t="str">
        <f>IF(OR(EA_Nachweis&lt;4,Basis_Status&gt;0),"",'7'!F22)</f>
        <v/>
      </c>
      <c r="N49" s="362"/>
      <c r="O49" s="358" t="str">
        <f>IF(Auswahl!$M$4=5,"Õ","")</f>
        <v/>
      </c>
      <c r="P49" s="359"/>
      <c r="Q49" s="360"/>
      <c r="R49" s="172"/>
      <c r="S49" s="76"/>
      <c r="T49" s="78"/>
      <c r="U49" s="57"/>
      <c r="V49" s="194"/>
      <c r="W49" s="194"/>
      <c r="X49" s="71"/>
      <c r="Y49" s="71"/>
      <c r="Z49" s="71"/>
      <c r="AA49" s="71"/>
      <c r="AB49" s="71"/>
      <c r="AC49" s="71"/>
      <c r="AD49" s="71"/>
      <c r="AE49" s="71"/>
      <c r="AF49" s="71"/>
      <c r="AG49" s="71"/>
      <c r="AH49" s="71"/>
    </row>
    <row r="50" spans="1:34" ht="16.5" customHeight="1" x14ac:dyDescent="0.3">
      <c r="A50" s="22"/>
      <c r="C50" s="171"/>
      <c r="D50" s="171"/>
      <c r="E50" s="382" t="s">
        <v>200</v>
      </c>
      <c r="F50" s="372"/>
      <c r="G50" s="373"/>
      <c r="H50" s="374"/>
      <c r="I50" s="376"/>
      <c r="J50" s="374"/>
      <c r="K50" s="375"/>
      <c r="L50" s="376"/>
      <c r="M50" s="361" t="str">
        <f>IF(OR(EA_Nachweis&lt;4,Basis_Status&gt;0),"",'7'!F23)</f>
        <v/>
      </c>
      <c r="N50" s="362"/>
      <c r="O50" s="358" t="str">
        <f>IF(Auswahl!$M$4=6,"Õ","")</f>
        <v/>
      </c>
      <c r="P50" s="378"/>
      <c r="Q50" s="379"/>
      <c r="R50" s="172"/>
      <c r="S50" s="76"/>
      <c r="T50" s="78"/>
      <c r="U50" s="57"/>
      <c r="V50" s="194"/>
      <c r="W50" s="194"/>
      <c r="X50" s="71"/>
      <c r="Y50" s="71"/>
      <c r="Z50" s="71"/>
      <c r="AA50" s="71"/>
      <c r="AB50" s="71"/>
      <c r="AC50" s="71"/>
      <c r="AD50" s="71"/>
      <c r="AE50" s="71"/>
      <c r="AF50" s="71"/>
      <c r="AG50" s="71"/>
      <c r="AH50" s="71"/>
    </row>
    <row r="51" spans="1:34" ht="16.5" customHeight="1" x14ac:dyDescent="0.3">
      <c r="A51" s="22"/>
      <c r="C51" s="216"/>
      <c r="D51" s="216"/>
      <c r="E51" s="381" t="s">
        <v>221</v>
      </c>
      <c r="F51" s="381"/>
      <c r="G51" s="381"/>
      <c r="H51" s="381"/>
      <c r="I51" s="381"/>
      <c r="J51" s="381"/>
      <c r="K51" s="381"/>
      <c r="L51" s="381"/>
      <c r="M51" s="381"/>
      <c r="N51" s="381"/>
      <c r="O51" s="381"/>
      <c r="P51" s="381"/>
      <c r="Q51" s="381"/>
      <c r="R51" s="217"/>
      <c r="S51" s="76"/>
      <c r="T51" s="78"/>
      <c r="U51" s="57"/>
      <c r="V51" s="194"/>
      <c r="W51" s="194"/>
      <c r="X51" s="71"/>
      <c r="Y51" s="71"/>
      <c r="Z51" s="71"/>
      <c r="AA51" s="71"/>
      <c r="AB51" s="71"/>
      <c r="AC51" s="71"/>
      <c r="AD51" s="71"/>
      <c r="AE51" s="71"/>
      <c r="AF51" s="71"/>
      <c r="AG51" s="71"/>
      <c r="AH51" s="71"/>
    </row>
    <row r="52" spans="1:34" ht="36.75" customHeight="1" x14ac:dyDescent="0.3">
      <c r="A52" s="22"/>
      <c r="C52" s="380" t="str">
        <f>IF(EA_Nachweis=0,TBS_A_3,IF(EA_Nachweis&lt;4,TBS_A_2,IF(AND(EA_Nachweis=4,OR(EA_RH_System_Select=4,EA_RH_System_Select=5,EA_RH_System_Select=8,EA_RH_System_Select&gt;9)),TBS_A_4,IF(Basis_Status&gt;0,TBS_A_1,IF(AND(Auswahl!I11=0,Auswahl!M4=1),TBS_A_6,TBS_A_5)))))</f>
        <v>Sie haben noch keine Auswahl getroffen - eine Einschätzung, ob eine Berechnung erforderlich ist, ist nicht möglich. Bitte Auswahl treffen!</v>
      </c>
      <c r="D52" s="380"/>
      <c r="E52" s="380"/>
      <c r="F52" s="380"/>
      <c r="G52" s="380"/>
      <c r="H52" s="380"/>
      <c r="I52" s="380"/>
      <c r="J52" s="380"/>
      <c r="K52" s="380"/>
      <c r="L52" s="380"/>
      <c r="M52" s="380"/>
      <c r="N52" s="380"/>
      <c r="O52" s="380"/>
      <c r="P52" s="380"/>
      <c r="Q52" s="380"/>
      <c r="R52" s="380"/>
      <c r="S52" s="76"/>
      <c r="T52" s="78"/>
      <c r="U52" s="57"/>
      <c r="V52" s="194"/>
      <c r="W52" s="194"/>
      <c r="X52" s="71"/>
      <c r="Y52" s="71"/>
      <c r="Z52" s="71"/>
      <c r="AA52" s="71"/>
      <c r="AB52" s="71"/>
      <c r="AC52" s="71"/>
      <c r="AD52" s="71"/>
      <c r="AE52" s="71"/>
      <c r="AF52" s="71"/>
      <c r="AG52" s="71"/>
      <c r="AH52" s="71"/>
    </row>
    <row r="53" spans="1:34" ht="51.75" customHeight="1" x14ac:dyDescent="0.3">
      <c r="A53" s="22"/>
      <c r="C53" s="149"/>
      <c r="D53" s="149"/>
      <c r="E53" s="149"/>
      <c r="F53" s="76"/>
      <c r="G53" s="148"/>
      <c r="H53" s="148"/>
      <c r="I53" s="148"/>
      <c r="J53" s="148"/>
      <c r="K53" s="76"/>
      <c r="L53" s="148"/>
      <c r="M53" s="148"/>
      <c r="N53" s="148"/>
      <c r="O53" s="148"/>
      <c r="P53" s="148"/>
      <c r="Q53" s="148"/>
      <c r="R53" s="76"/>
      <c r="S53" s="76"/>
      <c r="T53" s="78"/>
      <c r="U53" s="57"/>
      <c r="V53" s="194"/>
      <c r="W53" s="194"/>
      <c r="X53" s="71"/>
      <c r="Y53" s="71"/>
      <c r="Z53" s="71"/>
      <c r="AA53" s="71"/>
      <c r="AB53" s="71"/>
      <c r="AC53" s="71"/>
      <c r="AD53" s="71"/>
      <c r="AE53" s="71"/>
      <c r="AF53" s="71"/>
      <c r="AG53" s="71"/>
      <c r="AH53" s="71"/>
    </row>
    <row r="54" spans="1:34" ht="12.6" customHeight="1" x14ac:dyDescent="0.3">
      <c r="A54" s="22"/>
      <c r="C54" s="377" t="s">
        <v>186</v>
      </c>
      <c r="D54" s="377"/>
      <c r="E54" s="377"/>
      <c r="F54" s="76"/>
      <c r="G54" s="148"/>
      <c r="H54" s="148"/>
      <c r="I54" s="383" t="s">
        <v>202</v>
      </c>
      <c r="J54" s="383"/>
      <c r="K54" s="383"/>
      <c r="L54" s="383"/>
      <c r="M54" s="383"/>
      <c r="N54" s="383"/>
      <c r="O54" s="383"/>
      <c r="P54" s="383"/>
      <c r="Q54" s="383"/>
      <c r="R54" s="383"/>
      <c r="S54" s="76"/>
      <c r="T54" s="78"/>
      <c r="U54" s="26"/>
      <c r="V54" s="22"/>
      <c r="W54" s="22"/>
      <c r="X54" s="71"/>
      <c r="Y54" s="71"/>
      <c r="Z54" s="71"/>
      <c r="AA54" s="71"/>
      <c r="AB54" s="71"/>
      <c r="AC54" s="71"/>
      <c r="AD54" s="71"/>
      <c r="AE54" s="71"/>
      <c r="AF54" s="71"/>
      <c r="AG54" s="71"/>
      <c r="AH54" s="71"/>
    </row>
    <row r="55" spans="1:34" x14ac:dyDescent="0.3">
      <c r="A55" s="22"/>
      <c r="B55" s="71"/>
      <c r="C55" s="24"/>
      <c r="D55" s="24"/>
      <c r="E55" s="24"/>
      <c r="F55" s="24"/>
      <c r="G55" s="31"/>
      <c r="H55" s="24"/>
      <c r="I55" s="24"/>
      <c r="J55" s="24"/>
      <c r="K55" s="24"/>
      <c r="L55" s="31"/>
      <c r="M55" s="24"/>
      <c r="N55" s="24"/>
      <c r="O55" s="24"/>
      <c r="P55" s="24"/>
      <c r="Q55" s="24"/>
      <c r="R55" s="24"/>
      <c r="S55" s="78"/>
      <c r="T55" s="78"/>
      <c r="U55" s="24"/>
      <c r="V55" s="24"/>
      <c r="W55" s="24"/>
      <c r="X55" s="71"/>
      <c r="Y55" s="71"/>
      <c r="Z55" s="71"/>
      <c r="AA55" s="71"/>
      <c r="AB55" s="71"/>
      <c r="AC55" s="71"/>
      <c r="AD55" s="71"/>
      <c r="AE55" s="71"/>
      <c r="AF55" s="71"/>
      <c r="AG55" s="71"/>
      <c r="AH55" s="71"/>
    </row>
    <row r="56" spans="1:34" x14ac:dyDescent="0.3">
      <c r="A56" s="22"/>
      <c r="B56" s="71"/>
      <c r="C56" s="24"/>
      <c r="D56" s="24"/>
      <c r="E56" s="24"/>
      <c r="F56" s="24"/>
      <c r="G56" s="31"/>
      <c r="H56" s="24"/>
      <c r="I56" s="24"/>
      <c r="J56" s="24"/>
      <c r="K56" s="24"/>
      <c r="L56" s="31"/>
      <c r="M56" s="24"/>
      <c r="N56" s="24"/>
      <c r="O56" s="24"/>
      <c r="P56" s="24"/>
      <c r="Q56" s="24"/>
      <c r="R56" s="24"/>
      <c r="S56" s="78"/>
      <c r="T56" s="78"/>
      <c r="U56" s="24"/>
      <c r="V56" s="24"/>
      <c r="W56" s="24"/>
      <c r="X56" s="71"/>
      <c r="Y56" s="71"/>
      <c r="Z56" s="71"/>
      <c r="AA56" s="71"/>
      <c r="AB56" s="71"/>
      <c r="AC56" s="71"/>
      <c r="AD56" s="71"/>
      <c r="AE56" s="71"/>
      <c r="AF56" s="71"/>
      <c r="AG56" s="71"/>
      <c r="AH56" s="71"/>
    </row>
    <row r="57" spans="1:34" x14ac:dyDescent="0.3">
      <c r="A57" s="22"/>
      <c r="B57" s="71"/>
      <c r="C57" s="56"/>
      <c r="D57" s="56"/>
      <c r="E57" s="56"/>
      <c r="F57" s="56"/>
      <c r="G57" s="29"/>
      <c r="H57" s="29"/>
      <c r="I57" s="29"/>
      <c r="J57" s="29"/>
      <c r="K57" s="29"/>
      <c r="L57" s="29"/>
      <c r="M57" s="29"/>
      <c r="N57" s="29"/>
      <c r="O57" s="29"/>
      <c r="P57" s="29"/>
      <c r="Q57" s="29"/>
      <c r="R57" s="57"/>
      <c r="S57" s="78"/>
      <c r="T57" s="78"/>
      <c r="U57" s="24"/>
      <c r="V57" s="24"/>
      <c r="W57" s="24"/>
      <c r="X57" s="71"/>
      <c r="Y57" s="71"/>
      <c r="Z57" s="71"/>
      <c r="AA57" s="71"/>
      <c r="AB57" s="71"/>
      <c r="AC57" s="71"/>
      <c r="AD57" s="71"/>
      <c r="AE57" s="71"/>
      <c r="AF57" s="71"/>
      <c r="AG57" s="71"/>
      <c r="AH57" s="71"/>
    </row>
    <row r="58" spans="1:34" x14ac:dyDescent="0.3">
      <c r="A58" s="22"/>
      <c r="B58" s="71"/>
      <c r="C58" s="24"/>
      <c r="D58" s="24"/>
      <c r="E58" s="24"/>
      <c r="F58" s="24"/>
      <c r="G58" s="31"/>
      <c r="H58" s="24"/>
      <c r="I58" s="24"/>
      <c r="J58" s="24"/>
      <c r="K58" s="24"/>
      <c r="L58" s="31"/>
      <c r="M58" s="24"/>
      <c r="N58" s="24"/>
      <c r="O58" s="24"/>
      <c r="P58" s="24"/>
      <c r="Q58" s="24"/>
      <c r="R58" s="24"/>
      <c r="S58" s="78"/>
      <c r="T58" s="78"/>
      <c r="U58" s="24"/>
      <c r="V58" s="24"/>
      <c r="W58" s="24"/>
      <c r="X58" s="71"/>
      <c r="Y58" s="71"/>
      <c r="Z58" s="71"/>
      <c r="AA58" s="71"/>
      <c r="AB58" s="71"/>
      <c r="AC58" s="71"/>
      <c r="AD58" s="71"/>
      <c r="AE58" s="71"/>
      <c r="AF58" s="71"/>
      <c r="AG58" s="71"/>
      <c r="AH58" s="71"/>
    </row>
    <row r="59" spans="1:34" x14ac:dyDescent="0.3">
      <c r="A59" s="22"/>
      <c r="B59" s="71"/>
      <c r="C59" s="24"/>
      <c r="D59" s="24"/>
      <c r="E59" s="24"/>
      <c r="F59" s="24"/>
      <c r="G59" s="31"/>
      <c r="H59" s="24"/>
      <c r="I59" s="24"/>
      <c r="J59" s="24"/>
      <c r="K59" s="24"/>
      <c r="L59" s="31"/>
      <c r="M59" s="24"/>
      <c r="N59" s="24"/>
      <c r="O59" s="24"/>
      <c r="P59" s="24"/>
      <c r="Q59" s="24"/>
      <c r="R59" s="24"/>
      <c r="S59" s="78"/>
      <c r="T59" s="78"/>
      <c r="U59" s="24"/>
      <c r="V59" s="24"/>
      <c r="W59" s="24"/>
      <c r="X59" s="71"/>
      <c r="Y59" s="71"/>
      <c r="Z59" s="71"/>
      <c r="AA59" s="71"/>
      <c r="AB59" s="71"/>
      <c r="AC59" s="71"/>
      <c r="AD59" s="71"/>
      <c r="AE59" s="71"/>
      <c r="AF59" s="71"/>
      <c r="AG59" s="71"/>
      <c r="AH59" s="71"/>
    </row>
    <row r="60" spans="1:34" x14ac:dyDescent="0.3">
      <c r="A60" s="22"/>
      <c r="B60" s="71"/>
      <c r="C60" s="24"/>
      <c r="D60" s="24"/>
      <c r="E60" s="24"/>
      <c r="F60" s="24"/>
      <c r="G60" s="31"/>
      <c r="H60" s="24"/>
      <c r="I60" s="24"/>
      <c r="J60" s="24"/>
      <c r="K60" s="24"/>
      <c r="L60" s="31"/>
      <c r="M60" s="24"/>
      <c r="N60" s="24"/>
      <c r="O60" s="24"/>
      <c r="P60" s="24"/>
      <c r="Q60" s="24"/>
      <c r="R60" s="24"/>
      <c r="S60" s="78"/>
      <c r="T60" s="78"/>
      <c r="U60" s="24"/>
      <c r="V60" s="24"/>
      <c r="W60" s="24"/>
      <c r="X60" s="71"/>
      <c r="Y60" s="71"/>
      <c r="Z60" s="71"/>
      <c r="AA60" s="71"/>
      <c r="AB60" s="71"/>
      <c r="AC60" s="71"/>
      <c r="AD60" s="71"/>
      <c r="AE60" s="71"/>
      <c r="AF60" s="71"/>
      <c r="AG60" s="71"/>
      <c r="AH60" s="71"/>
    </row>
    <row r="61" spans="1:34" x14ac:dyDescent="0.3">
      <c r="A61" s="22"/>
      <c r="B61" s="71"/>
      <c r="C61" s="24"/>
      <c r="D61" s="24"/>
      <c r="E61" s="24"/>
      <c r="F61" s="24"/>
      <c r="G61" s="31"/>
      <c r="H61" s="24"/>
      <c r="I61" s="24"/>
      <c r="J61" s="24"/>
      <c r="K61" s="24"/>
      <c r="L61" s="31"/>
      <c r="M61" s="24"/>
      <c r="N61" s="24"/>
      <c r="O61" s="24"/>
      <c r="P61" s="24"/>
      <c r="Q61" s="24"/>
      <c r="R61" s="24"/>
      <c r="S61" s="78"/>
      <c r="T61" s="78"/>
      <c r="U61" s="24"/>
      <c r="V61" s="24"/>
      <c r="W61" s="24"/>
      <c r="X61" s="71"/>
      <c r="Y61" s="71"/>
      <c r="Z61" s="71"/>
      <c r="AA61" s="71"/>
      <c r="AB61" s="71"/>
      <c r="AC61" s="71"/>
      <c r="AD61" s="71"/>
      <c r="AE61" s="71"/>
      <c r="AF61" s="71"/>
      <c r="AG61" s="71"/>
      <c r="AH61" s="71"/>
    </row>
    <row r="62" spans="1:34" x14ac:dyDescent="0.3">
      <c r="A62" s="22"/>
      <c r="B62" s="71"/>
      <c r="C62" s="24"/>
      <c r="D62" s="24"/>
      <c r="E62" s="24"/>
      <c r="F62" s="31"/>
      <c r="G62" s="24"/>
      <c r="H62" s="24"/>
      <c r="I62" s="24"/>
      <c r="J62" s="24"/>
      <c r="K62" s="31"/>
      <c r="L62" s="24"/>
      <c r="M62" s="24"/>
      <c r="N62" s="24"/>
      <c r="O62" s="24"/>
      <c r="P62" s="24"/>
      <c r="Q62" s="24"/>
      <c r="R62" s="31"/>
      <c r="S62" s="78"/>
      <c r="T62" s="78"/>
      <c r="U62" s="24"/>
      <c r="V62" s="24"/>
      <c r="W62" s="24"/>
      <c r="X62" s="71"/>
      <c r="Y62" s="71"/>
      <c r="Z62" s="71"/>
      <c r="AA62" s="71"/>
      <c r="AB62" s="71"/>
      <c r="AC62" s="71"/>
      <c r="AD62" s="71"/>
      <c r="AE62" s="71"/>
      <c r="AF62" s="71"/>
      <c r="AG62" s="71"/>
      <c r="AH62" s="71"/>
    </row>
    <row r="63" spans="1:34" x14ac:dyDescent="0.3">
      <c r="A63" s="22"/>
      <c r="B63" s="71"/>
      <c r="C63" s="24"/>
      <c r="D63" s="24"/>
      <c r="E63" s="24"/>
      <c r="F63" s="31"/>
      <c r="G63" s="24"/>
      <c r="H63" s="24"/>
      <c r="I63" s="24"/>
      <c r="J63" s="24"/>
      <c r="K63" s="31"/>
      <c r="L63" s="24"/>
      <c r="M63" s="24"/>
      <c r="N63" s="24"/>
      <c r="O63" s="24"/>
      <c r="P63" s="24"/>
      <c r="Q63" s="24"/>
      <c r="R63" s="31"/>
      <c r="S63" s="78"/>
      <c r="T63" s="78"/>
      <c r="U63" s="24"/>
      <c r="V63" s="24"/>
      <c r="W63" s="24"/>
      <c r="X63" s="71"/>
      <c r="Y63" s="71"/>
      <c r="Z63" s="71"/>
      <c r="AA63" s="71"/>
      <c r="AB63" s="71"/>
      <c r="AC63" s="71"/>
      <c r="AD63" s="71"/>
      <c r="AE63" s="71"/>
      <c r="AF63" s="71"/>
      <c r="AG63" s="71"/>
      <c r="AH63" s="71"/>
    </row>
    <row r="64" spans="1:34" x14ac:dyDescent="0.3">
      <c r="A64" s="22"/>
      <c r="B64" s="71"/>
      <c r="C64" s="24"/>
      <c r="D64" s="24"/>
      <c r="E64" s="24"/>
      <c r="F64" s="31"/>
      <c r="G64" s="24"/>
      <c r="H64" s="24"/>
      <c r="I64" s="24"/>
      <c r="J64" s="24"/>
      <c r="K64" s="31"/>
      <c r="L64" s="24"/>
      <c r="M64" s="24"/>
      <c r="N64" s="24"/>
      <c r="O64" s="24"/>
      <c r="P64" s="24"/>
      <c r="Q64" s="24"/>
      <c r="R64" s="31"/>
      <c r="S64" s="78"/>
      <c r="T64" s="78"/>
      <c r="U64" s="24"/>
      <c r="V64" s="24"/>
      <c r="W64" s="24"/>
      <c r="X64" s="71"/>
      <c r="Y64" s="71"/>
      <c r="Z64" s="71"/>
      <c r="AA64" s="71"/>
      <c r="AB64" s="71"/>
      <c r="AC64" s="71"/>
      <c r="AD64" s="71"/>
      <c r="AE64" s="71"/>
      <c r="AF64" s="71"/>
      <c r="AG64" s="71"/>
      <c r="AH64" s="71"/>
    </row>
    <row r="65" spans="1:34" x14ac:dyDescent="0.3">
      <c r="A65" s="22"/>
      <c r="B65" s="71"/>
      <c r="C65" s="24"/>
      <c r="D65" s="24"/>
      <c r="E65" s="24"/>
      <c r="F65" s="31"/>
      <c r="G65" s="24"/>
      <c r="H65" s="24"/>
      <c r="I65" s="24"/>
      <c r="J65" s="24"/>
      <c r="K65" s="31"/>
      <c r="L65" s="24"/>
      <c r="M65" s="24"/>
      <c r="N65" s="24"/>
      <c r="O65" s="24"/>
      <c r="P65" s="24"/>
      <c r="Q65" s="24"/>
      <c r="R65" s="31"/>
      <c r="S65" s="78"/>
      <c r="T65" s="78"/>
      <c r="U65" s="24"/>
      <c r="V65" s="24"/>
      <c r="W65" s="24"/>
      <c r="X65" s="71"/>
      <c r="Y65" s="71"/>
      <c r="Z65" s="71"/>
      <c r="AA65" s="71"/>
      <c r="AB65" s="71"/>
      <c r="AC65" s="71"/>
      <c r="AD65" s="71"/>
      <c r="AE65" s="71"/>
      <c r="AF65" s="71"/>
      <c r="AG65" s="71"/>
      <c r="AH65" s="71"/>
    </row>
    <row r="66" spans="1:34" x14ac:dyDescent="0.3">
      <c r="A66" s="22"/>
      <c r="B66" s="71"/>
      <c r="C66" s="24"/>
      <c r="D66" s="24"/>
      <c r="E66" s="24"/>
      <c r="F66" s="31"/>
      <c r="G66" s="24"/>
      <c r="H66" s="24"/>
      <c r="I66" s="24"/>
      <c r="J66" s="24"/>
      <c r="K66" s="31"/>
      <c r="L66" s="24"/>
      <c r="M66" s="24"/>
      <c r="N66" s="24"/>
      <c r="O66" s="24"/>
      <c r="P66" s="24"/>
      <c r="Q66" s="24"/>
      <c r="R66" s="31"/>
      <c r="S66" s="78"/>
      <c r="T66" s="78"/>
      <c r="U66" s="24"/>
      <c r="V66" s="24"/>
      <c r="W66" s="24"/>
      <c r="X66" s="71"/>
      <c r="Y66" s="71"/>
      <c r="Z66" s="71"/>
      <c r="AA66" s="71"/>
      <c r="AB66" s="71"/>
      <c r="AC66" s="71"/>
      <c r="AD66" s="71"/>
      <c r="AE66" s="71"/>
      <c r="AF66" s="71"/>
      <c r="AG66" s="71"/>
      <c r="AH66" s="71"/>
    </row>
    <row r="67" spans="1:34" x14ac:dyDescent="0.3">
      <c r="A67" s="22"/>
      <c r="B67" s="71"/>
      <c r="C67" s="24"/>
      <c r="D67" s="24"/>
      <c r="E67" s="24"/>
      <c r="F67" s="31"/>
      <c r="G67" s="24"/>
      <c r="H67" s="24"/>
      <c r="I67" s="24"/>
      <c r="J67" s="24"/>
      <c r="K67" s="31"/>
      <c r="L67" s="24"/>
      <c r="M67" s="24"/>
      <c r="N67" s="24"/>
      <c r="O67" s="24"/>
      <c r="P67" s="24"/>
      <c r="Q67" s="24"/>
      <c r="R67" s="31"/>
      <c r="S67" s="78"/>
      <c r="T67" s="78"/>
      <c r="U67" s="24"/>
      <c r="V67" s="24"/>
      <c r="W67" s="24"/>
      <c r="X67" s="71"/>
      <c r="Y67" s="71"/>
      <c r="Z67" s="71"/>
      <c r="AA67" s="71"/>
      <c r="AB67" s="71"/>
      <c r="AC67" s="71"/>
      <c r="AD67" s="71"/>
      <c r="AE67" s="71"/>
      <c r="AF67" s="71"/>
      <c r="AG67" s="71"/>
      <c r="AH67" s="71"/>
    </row>
    <row r="68" spans="1:34" x14ac:dyDescent="0.3">
      <c r="A68" s="22"/>
      <c r="B68" s="71"/>
      <c r="C68" s="24"/>
      <c r="D68" s="24"/>
      <c r="E68" s="24"/>
      <c r="F68" s="31"/>
      <c r="G68" s="24"/>
      <c r="H68" s="24"/>
      <c r="I68" s="24"/>
      <c r="J68" s="24"/>
      <c r="K68" s="31"/>
      <c r="L68" s="24"/>
      <c r="M68" s="24"/>
      <c r="N68" s="24"/>
      <c r="O68" s="24"/>
      <c r="P68" s="24"/>
      <c r="Q68" s="24"/>
      <c r="R68" s="31"/>
      <c r="S68" s="78"/>
      <c r="T68" s="78"/>
      <c r="U68" s="24"/>
      <c r="V68" s="24"/>
      <c r="W68" s="24"/>
      <c r="X68" s="71"/>
      <c r="Y68" s="71"/>
      <c r="Z68" s="71"/>
      <c r="AA68" s="71"/>
      <c r="AB68" s="71"/>
      <c r="AC68" s="71"/>
      <c r="AD68" s="71"/>
      <c r="AE68" s="71"/>
      <c r="AF68" s="71"/>
      <c r="AG68" s="71"/>
      <c r="AH68" s="71"/>
    </row>
    <row r="69" spans="1:34" x14ac:dyDescent="0.3">
      <c r="A69" s="22"/>
      <c r="B69" s="71"/>
      <c r="C69" s="24"/>
      <c r="D69" s="24"/>
      <c r="E69" s="24"/>
      <c r="F69" s="31"/>
      <c r="G69" s="24"/>
      <c r="H69" s="24"/>
      <c r="I69" s="24"/>
      <c r="J69" s="24"/>
      <c r="K69" s="31"/>
      <c r="L69" s="24"/>
      <c r="M69" s="24"/>
      <c r="N69" s="24"/>
      <c r="O69" s="24"/>
      <c r="P69" s="24"/>
      <c r="Q69" s="24"/>
      <c r="R69" s="31"/>
      <c r="S69" s="78"/>
      <c r="T69" s="78"/>
      <c r="U69" s="24"/>
      <c r="V69" s="24"/>
      <c r="W69" s="24"/>
      <c r="X69" s="71"/>
      <c r="Y69" s="71"/>
      <c r="Z69" s="71"/>
      <c r="AA69" s="71"/>
      <c r="AB69" s="71"/>
      <c r="AC69" s="71"/>
      <c r="AD69" s="71"/>
      <c r="AE69" s="71"/>
      <c r="AF69" s="71"/>
      <c r="AG69" s="71"/>
      <c r="AH69" s="71"/>
    </row>
    <row r="70" spans="1:34" x14ac:dyDescent="0.3">
      <c r="A70" s="22"/>
      <c r="B70" s="71"/>
      <c r="C70" s="24"/>
      <c r="D70" s="24"/>
      <c r="E70" s="24"/>
      <c r="F70" s="31"/>
      <c r="G70" s="24"/>
      <c r="H70" s="24"/>
      <c r="I70" s="24"/>
      <c r="J70" s="24"/>
      <c r="K70" s="31"/>
      <c r="L70" s="24"/>
      <c r="M70" s="24"/>
      <c r="N70" s="24"/>
      <c r="O70" s="24"/>
      <c r="P70" s="24"/>
      <c r="Q70" s="24"/>
      <c r="R70" s="31"/>
      <c r="S70" s="78"/>
      <c r="T70" s="78"/>
      <c r="U70" s="24"/>
      <c r="V70" s="24"/>
      <c r="W70" s="24"/>
      <c r="X70" s="71"/>
      <c r="Y70" s="71"/>
      <c r="Z70" s="71"/>
      <c r="AA70" s="71"/>
      <c r="AB70" s="71"/>
      <c r="AC70" s="71"/>
      <c r="AD70" s="71"/>
      <c r="AE70" s="71"/>
      <c r="AF70" s="71"/>
      <c r="AG70" s="71"/>
      <c r="AH70" s="71"/>
    </row>
    <row r="71" spans="1:34" x14ac:dyDescent="0.3">
      <c r="A71" s="22"/>
      <c r="B71" s="71"/>
      <c r="C71" s="24"/>
      <c r="D71" s="24"/>
      <c r="E71" s="24"/>
      <c r="F71" s="31"/>
      <c r="G71" s="24"/>
      <c r="H71" s="24"/>
      <c r="I71" s="24"/>
      <c r="J71" s="24"/>
      <c r="K71" s="31"/>
      <c r="L71" s="24"/>
      <c r="M71" s="24"/>
      <c r="N71" s="24"/>
      <c r="O71" s="24"/>
      <c r="P71" s="24"/>
      <c r="Q71" s="24"/>
      <c r="R71" s="31"/>
      <c r="S71" s="78"/>
      <c r="T71" s="78"/>
      <c r="U71" s="24"/>
      <c r="V71" s="24"/>
      <c r="W71" s="24"/>
      <c r="X71" s="71"/>
      <c r="Y71" s="71"/>
      <c r="Z71" s="71"/>
      <c r="AA71" s="71"/>
      <c r="AB71" s="71"/>
      <c r="AC71" s="71"/>
      <c r="AD71" s="71"/>
      <c r="AE71" s="71"/>
      <c r="AF71" s="71"/>
      <c r="AG71" s="71"/>
      <c r="AH71" s="71"/>
    </row>
    <row r="72" spans="1:34" x14ac:dyDescent="0.3">
      <c r="A72" s="22"/>
      <c r="B72" s="71"/>
      <c r="C72" s="24"/>
      <c r="D72" s="24"/>
      <c r="E72" s="24"/>
      <c r="F72" s="31"/>
      <c r="G72" s="24"/>
      <c r="H72" s="24"/>
      <c r="I72" s="24"/>
      <c r="J72" s="24"/>
      <c r="K72" s="31"/>
      <c r="L72" s="24"/>
      <c r="M72" s="24"/>
      <c r="N72" s="24"/>
      <c r="O72" s="24"/>
      <c r="P72" s="24"/>
      <c r="Q72" s="24"/>
      <c r="R72" s="31"/>
      <c r="S72" s="78"/>
      <c r="T72" s="78"/>
      <c r="U72" s="24"/>
      <c r="V72" s="24"/>
      <c r="W72" s="24"/>
      <c r="X72" s="71"/>
      <c r="Y72" s="71"/>
      <c r="Z72" s="71"/>
      <c r="AA72" s="71"/>
      <c r="AB72" s="71"/>
      <c r="AC72" s="71"/>
      <c r="AD72" s="71"/>
      <c r="AE72" s="71"/>
      <c r="AF72" s="71"/>
      <c r="AG72" s="71"/>
      <c r="AH72" s="71"/>
    </row>
    <row r="73" spans="1:34" x14ac:dyDescent="0.3">
      <c r="A73" s="22"/>
      <c r="B73" s="71"/>
      <c r="C73" s="22"/>
      <c r="D73" s="22"/>
      <c r="E73" s="22"/>
      <c r="F73" s="23"/>
      <c r="G73" s="22"/>
      <c r="H73" s="22"/>
      <c r="I73" s="22"/>
      <c r="J73" s="22"/>
      <c r="K73" s="23"/>
      <c r="L73" s="22"/>
      <c r="M73" s="22"/>
      <c r="N73" s="22"/>
      <c r="O73" s="22"/>
      <c r="P73" s="22"/>
      <c r="Q73" s="22"/>
      <c r="R73" s="23"/>
      <c r="S73" s="71"/>
      <c r="T73" s="71"/>
      <c r="U73" s="24"/>
      <c r="V73" s="22"/>
      <c r="W73" s="22"/>
      <c r="X73" s="71"/>
      <c r="Y73" s="71"/>
      <c r="Z73" s="71"/>
      <c r="AA73" s="71"/>
      <c r="AB73" s="71"/>
      <c r="AC73" s="71"/>
      <c r="AD73" s="71"/>
      <c r="AE73" s="71"/>
      <c r="AF73" s="71"/>
      <c r="AG73" s="71"/>
      <c r="AH73" s="71"/>
    </row>
    <row r="74" spans="1:34" x14ac:dyDescent="0.3">
      <c r="A74" s="22"/>
      <c r="B74" s="71"/>
      <c r="C74" s="22"/>
      <c r="D74" s="22"/>
      <c r="E74" s="22"/>
      <c r="F74" s="23"/>
      <c r="G74" s="22"/>
      <c r="H74" s="22"/>
      <c r="I74" s="22"/>
      <c r="J74" s="22"/>
      <c r="K74" s="23"/>
      <c r="L74" s="22"/>
      <c r="M74" s="22"/>
      <c r="N74" s="22"/>
      <c r="O74" s="22"/>
      <c r="P74" s="22"/>
      <c r="Q74" s="22"/>
      <c r="R74" s="23"/>
      <c r="S74" s="71"/>
      <c r="T74" s="71"/>
      <c r="U74" s="24"/>
      <c r="V74" s="22"/>
      <c r="W74" s="22"/>
      <c r="X74" s="71"/>
      <c r="Y74" s="71"/>
      <c r="Z74" s="71"/>
      <c r="AA74" s="71"/>
      <c r="AB74" s="71"/>
      <c r="AC74" s="71"/>
      <c r="AD74" s="71"/>
      <c r="AE74" s="71"/>
      <c r="AF74" s="71"/>
      <c r="AG74" s="71"/>
      <c r="AH74" s="71"/>
    </row>
    <row r="75" spans="1:34" x14ac:dyDescent="0.3">
      <c r="A75" s="22"/>
      <c r="B75" s="71"/>
      <c r="C75" s="22"/>
      <c r="D75" s="22"/>
      <c r="E75" s="22"/>
      <c r="F75" s="23"/>
      <c r="G75" s="22"/>
      <c r="H75" s="22"/>
      <c r="I75" s="22"/>
      <c r="J75" s="22"/>
      <c r="K75" s="23"/>
      <c r="L75" s="22"/>
      <c r="M75" s="22"/>
      <c r="N75" s="22"/>
      <c r="O75" s="22"/>
      <c r="P75" s="22"/>
      <c r="Q75" s="22"/>
      <c r="R75" s="23"/>
      <c r="S75" s="71"/>
      <c r="T75" s="71"/>
      <c r="U75" s="24"/>
      <c r="V75" s="22"/>
      <c r="W75" s="22"/>
      <c r="X75" s="71"/>
      <c r="Y75" s="71"/>
      <c r="Z75" s="71"/>
      <c r="AA75" s="71"/>
      <c r="AB75" s="71"/>
      <c r="AC75" s="71"/>
      <c r="AD75" s="71"/>
      <c r="AE75" s="71"/>
      <c r="AF75" s="71"/>
      <c r="AG75" s="71"/>
      <c r="AH75" s="71"/>
    </row>
    <row r="76" spans="1:34" x14ac:dyDescent="0.3">
      <c r="A76" s="22"/>
      <c r="B76" s="71"/>
      <c r="C76" s="22"/>
      <c r="D76" s="22"/>
      <c r="E76" s="22"/>
      <c r="F76" s="23"/>
      <c r="G76" s="22"/>
      <c r="H76" s="22"/>
      <c r="I76" s="22"/>
      <c r="J76" s="22"/>
      <c r="K76" s="23"/>
      <c r="L76" s="22"/>
      <c r="M76" s="22"/>
      <c r="N76" s="22"/>
      <c r="O76" s="22"/>
      <c r="P76" s="22"/>
      <c r="Q76" s="22"/>
      <c r="R76" s="23"/>
      <c r="S76" s="71"/>
      <c r="T76" s="71"/>
      <c r="U76" s="24"/>
      <c r="V76" s="22"/>
      <c r="W76" s="22"/>
      <c r="X76" s="71"/>
      <c r="Y76" s="71"/>
      <c r="Z76" s="71"/>
      <c r="AA76" s="71"/>
      <c r="AB76" s="71"/>
      <c r="AC76" s="71"/>
      <c r="AD76" s="71"/>
      <c r="AE76" s="71"/>
      <c r="AF76" s="71"/>
      <c r="AG76" s="71"/>
      <c r="AH76" s="71"/>
    </row>
    <row r="77" spans="1:34" x14ac:dyDescent="0.3">
      <c r="A77" s="22"/>
      <c r="B77" s="71"/>
      <c r="C77" s="22"/>
      <c r="D77" s="22"/>
      <c r="E77" s="22"/>
      <c r="F77" s="23"/>
      <c r="G77" s="22"/>
      <c r="H77" s="22"/>
      <c r="I77" s="22"/>
      <c r="J77" s="22"/>
      <c r="K77" s="23"/>
      <c r="L77" s="22"/>
      <c r="M77" s="22"/>
      <c r="N77" s="22"/>
      <c r="O77" s="22"/>
      <c r="P77" s="22"/>
      <c r="Q77" s="22"/>
      <c r="R77" s="23"/>
      <c r="S77" s="71"/>
      <c r="T77" s="71"/>
      <c r="U77" s="24"/>
      <c r="V77" s="22"/>
      <c r="W77" s="22"/>
      <c r="X77" s="71"/>
      <c r="Y77" s="71"/>
      <c r="Z77" s="71"/>
      <c r="AA77" s="71"/>
      <c r="AB77" s="71"/>
      <c r="AC77" s="71"/>
      <c r="AD77" s="71"/>
      <c r="AE77" s="71"/>
      <c r="AF77" s="71"/>
      <c r="AG77" s="71"/>
      <c r="AH77" s="71"/>
    </row>
    <row r="78" spans="1:34" x14ac:dyDescent="0.3">
      <c r="A78" s="22"/>
      <c r="B78" s="71"/>
      <c r="C78" s="22"/>
      <c r="D78" s="22"/>
      <c r="E78" s="22"/>
      <c r="F78" s="23"/>
      <c r="G78" s="22"/>
      <c r="H78" s="22"/>
      <c r="I78" s="22"/>
      <c r="J78" s="22"/>
      <c r="K78" s="23"/>
      <c r="L78" s="22"/>
      <c r="M78" s="22"/>
      <c r="N78" s="22"/>
      <c r="O78" s="22"/>
      <c r="P78" s="22"/>
      <c r="Q78" s="22"/>
      <c r="R78" s="23"/>
      <c r="S78" s="71"/>
      <c r="T78" s="71"/>
      <c r="U78" s="24"/>
      <c r="V78" s="22"/>
      <c r="W78" s="22"/>
      <c r="X78" s="71"/>
      <c r="Y78" s="71"/>
      <c r="Z78" s="71"/>
      <c r="AA78" s="71"/>
      <c r="AB78" s="71"/>
      <c r="AC78" s="71"/>
      <c r="AD78" s="71"/>
      <c r="AE78" s="71"/>
      <c r="AF78" s="71"/>
      <c r="AG78" s="71"/>
      <c r="AH78" s="71"/>
    </row>
    <row r="79" spans="1:34" x14ac:dyDescent="0.3">
      <c r="A79" s="22"/>
      <c r="B79" s="71"/>
      <c r="C79" s="22"/>
      <c r="D79" s="22"/>
      <c r="E79" s="22"/>
      <c r="F79" s="23"/>
      <c r="G79" s="22"/>
      <c r="H79" s="22"/>
      <c r="I79" s="22"/>
      <c r="J79" s="22"/>
      <c r="K79" s="23"/>
      <c r="L79" s="22"/>
      <c r="M79" s="22"/>
      <c r="N79" s="22"/>
      <c r="O79" s="22"/>
      <c r="P79" s="22"/>
      <c r="Q79" s="22"/>
      <c r="R79" s="23"/>
      <c r="S79" s="71"/>
      <c r="T79" s="71"/>
      <c r="U79" s="24"/>
      <c r="V79" s="22"/>
      <c r="W79" s="22"/>
      <c r="X79" s="71"/>
      <c r="Y79" s="71"/>
      <c r="Z79" s="71"/>
      <c r="AA79" s="71"/>
      <c r="AB79" s="71"/>
      <c r="AC79" s="71"/>
      <c r="AD79" s="71"/>
      <c r="AE79" s="71"/>
      <c r="AF79" s="71"/>
      <c r="AG79" s="71"/>
      <c r="AH79" s="71"/>
    </row>
    <row r="80" spans="1:34" x14ac:dyDescent="0.3">
      <c r="A80" s="22"/>
      <c r="B80" s="71"/>
      <c r="C80" s="22"/>
      <c r="D80" s="22"/>
      <c r="E80" s="22"/>
      <c r="F80" s="23"/>
      <c r="G80" s="22"/>
      <c r="H80" s="22"/>
      <c r="I80" s="22"/>
      <c r="J80" s="22"/>
      <c r="K80" s="23"/>
      <c r="L80" s="22"/>
      <c r="M80" s="22"/>
      <c r="N80" s="22"/>
      <c r="O80" s="22"/>
      <c r="P80" s="22"/>
      <c r="Q80" s="22"/>
      <c r="R80" s="23"/>
      <c r="S80" s="71"/>
      <c r="T80" s="71"/>
      <c r="U80" s="24"/>
      <c r="V80" s="22"/>
      <c r="W80" s="22"/>
      <c r="X80" s="71"/>
      <c r="Y80" s="71"/>
      <c r="Z80" s="71"/>
      <c r="AA80" s="71"/>
      <c r="AB80" s="71"/>
      <c r="AC80" s="71"/>
      <c r="AD80" s="71"/>
      <c r="AE80" s="71"/>
      <c r="AF80" s="71"/>
      <c r="AG80" s="71"/>
      <c r="AH80" s="71"/>
    </row>
    <row r="81" spans="1:34" x14ac:dyDescent="0.3">
      <c r="A81" s="22"/>
      <c r="B81" s="71"/>
      <c r="C81" s="22"/>
      <c r="D81" s="22"/>
      <c r="E81" s="22"/>
      <c r="F81" s="23"/>
      <c r="G81" s="22"/>
      <c r="H81" s="22"/>
      <c r="I81" s="22"/>
      <c r="J81" s="22"/>
      <c r="K81" s="23"/>
      <c r="L81" s="22"/>
      <c r="M81" s="22"/>
      <c r="N81" s="22"/>
      <c r="O81" s="22"/>
      <c r="P81" s="22"/>
      <c r="Q81" s="22"/>
      <c r="R81" s="23"/>
      <c r="S81" s="71"/>
      <c r="T81" s="71"/>
      <c r="U81" s="24"/>
      <c r="V81" s="22"/>
      <c r="W81" s="22"/>
      <c r="X81" s="71"/>
      <c r="Y81" s="71"/>
      <c r="Z81" s="71"/>
      <c r="AA81" s="71"/>
      <c r="AB81" s="71"/>
      <c r="AC81" s="71"/>
      <c r="AD81" s="71"/>
      <c r="AE81" s="71"/>
      <c r="AF81" s="71"/>
      <c r="AG81" s="71"/>
      <c r="AH81" s="71"/>
    </row>
    <row r="82" spans="1:34" x14ac:dyDescent="0.3">
      <c r="A82" s="22"/>
      <c r="B82" s="71"/>
      <c r="C82" s="22"/>
      <c r="D82" s="22"/>
      <c r="E82" s="22"/>
      <c r="F82" s="23"/>
      <c r="G82" s="22"/>
      <c r="H82" s="22"/>
      <c r="I82" s="22"/>
      <c r="J82" s="22"/>
      <c r="K82" s="23"/>
      <c r="L82" s="22"/>
      <c r="M82" s="22"/>
      <c r="N82" s="22"/>
      <c r="O82" s="22"/>
      <c r="P82" s="22"/>
      <c r="Q82" s="22"/>
      <c r="R82" s="23"/>
      <c r="S82" s="71"/>
      <c r="T82" s="71"/>
      <c r="U82" s="24"/>
      <c r="V82" s="22"/>
      <c r="W82" s="22"/>
      <c r="X82" s="71"/>
      <c r="Y82" s="71"/>
      <c r="Z82" s="71"/>
      <c r="AA82" s="71"/>
      <c r="AB82" s="71"/>
      <c r="AC82" s="71"/>
      <c r="AD82" s="71"/>
      <c r="AE82" s="71"/>
      <c r="AF82" s="71"/>
      <c r="AG82" s="71"/>
      <c r="AH82" s="71"/>
    </row>
    <row r="83" spans="1:34" x14ac:dyDescent="0.3">
      <c r="A83" s="22"/>
      <c r="B83" s="71"/>
      <c r="C83" s="22"/>
      <c r="D83" s="22"/>
      <c r="E83" s="22"/>
      <c r="F83" s="23"/>
      <c r="G83" s="22"/>
      <c r="H83" s="22"/>
      <c r="I83" s="22"/>
      <c r="J83" s="22"/>
      <c r="K83" s="23"/>
      <c r="L83" s="22"/>
      <c r="M83" s="22"/>
      <c r="N83" s="22"/>
      <c r="O83" s="22"/>
      <c r="P83" s="22"/>
      <c r="Q83" s="22"/>
      <c r="R83" s="23"/>
      <c r="S83" s="71"/>
      <c r="T83" s="71"/>
      <c r="U83" s="24"/>
      <c r="V83" s="22"/>
      <c r="W83" s="22"/>
      <c r="X83" s="71"/>
      <c r="Y83" s="71"/>
      <c r="Z83" s="71"/>
      <c r="AA83" s="71"/>
      <c r="AB83" s="71"/>
      <c r="AC83" s="71"/>
      <c r="AD83" s="71"/>
      <c r="AE83" s="71"/>
      <c r="AF83" s="71"/>
      <c r="AG83" s="71"/>
      <c r="AH83" s="71"/>
    </row>
    <row r="84" spans="1:34" x14ac:dyDescent="0.3">
      <c r="A84" s="22"/>
      <c r="B84" s="71"/>
      <c r="C84" s="22"/>
      <c r="D84" s="22"/>
      <c r="E84" s="22"/>
      <c r="F84" s="23"/>
      <c r="G84" s="22"/>
      <c r="H84" s="22"/>
      <c r="I84" s="22"/>
      <c r="J84" s="22"/>
      <c r="K84" s="23"/>
      <c r="L84" s="22"/>
      <c r="M84" s="22"/>
      <c r="N84" s="22"/>
      <c r="O84" s="22"/>
      <c r="P84" s="22"/>
      <c r="Q84" s="22"/>
      <c r="R84" s="23"/>
      <c r="S84" s="71"/>
      <c r="T84" s="71"/>
      <c r="U84" s="24"/>
      <c r="V84" s="22"/>
      <c r="W84" s="22"/>
      <c r="X84" s="71"/>
      <c r="Y84" s="71"/>
      <c r="Z84" s="71"/>
      <c r="AA84" s="71"/>
      <c r="AB84" s="71"/>
      <c r="AC84" s="71"/>
      <c r="AD84" s="71"/>
      <c r="AE84" s="71"/>
      <c r="AF84" s="71"/>
      <c r="AG84" s="71"/>
      <c r="AH84" s="71"/>
    </row>
    <row r="85" spans="1:34" x14ac:dyDescent="0.3">
      <c r="A85" s="22"/>
      <c r="B85" s="71"/>
      <c r="C85" s="22"/>
      <c r="D85" s="22"/>
      <c r="E85" s="22"/>
      <c r="F85" s="23"/>
      <c r="G85" s="22"/>
      <c r="H85" s="22"/>
      <c r="I85" s="22"/>
      <c r="J85" s="22"/>
      <c r="K85" s="23"/>
      <c r="L85" s="22"/>
      <c r="M85" s="22"/>
      <c r="N85" s="22"/>
      <c r="O85" s="22"/>
      <c r="P85" s="22"/>
      <c r="Q85" s="22"/>
      <c r="R85" s="23"/>
      <c r="S85" s="71"/>
      <c r="T85" s="71"/>
      <c r="U85" s="24"/>
      <c r="V85" s="22"/>
      <c r="W85" s="22"/>
      <c r="X85" s="71"/>
      <c r="Y85" s="71"/>
      <c r="Z85" s="71"/>
      <c r="AA85" s="71"/>
      <c r="AB85" s="71"/>
      <c r="AC85" s="71"/>
      <c r="AD85" s="71"/>
      <c r="AE85" s="71"/>
      <c r="AF85" s="71"/>
      <c r="AG85" s="71"/>
      <c r="AH85" s="71"/>
    </row>
    <row r="86" spans="1:34" x14ac:dyDescent="0.3">
      <c r="A86" s="22"/>
      <c r="B86" s="71"/>
      <c r="C86" s="22"/>
      <c r="D86" s="22"/>
      <c r="E86" s="22"/>
      <c r="F86" s="23"/>
      <c r="G86" s="22"/>
      <c r="H86" s="22"/>
      <c r="I86" s="22"/>
      <c r="J86" s="22"/>
      <c r="K86" s="23"/>
      <c r="L86" s="22"/>
      <c r="M86" s="22"/>
      <c r="N86" s="22"/>
      <c r="O86" s="22"/>
      <c r="P86" s="22"/>
      <c r="Q86" s="22"/>
      <c r="R86" s="23"/>
      <c r="S86" s="71"/>
      <c r="T86" s="71"/>
      <c r="U86" s="24"/>
      <c r="V86" s="22"/>
      <c r="W86" s="22"/>
      <c r="X86" s="71"/>
      <c r="Y86" s="71"/>
      <c r="Z86" s="71"/>
      <c r="AA86" s="71"/>
      <c r="AB86" s="71"/>
      <c r="AC86" s="71"/>
      <c r="AD86" s="71"/>
      <c r="AE86" s="71"/>
      <c r="AF86" s="71"/>
      <c r="AG86" s="71"/>
      <c r="AH86" s="71"/>
    </row>
    <row r="87" spans="1:34" x14ac:dyDescent="0.3">
      <c r="A87" s="22"/>
      <c r="B87" s="71"/>
      <c r="C87" s="22"/>
      <c r="D87" s="22"/>
      <c r="E87" s="22"/>
      <c r="F87" s="23"/>
      <c r="G87" s="22"/>
      <c r="H87" s="22"/>
      <c r="I87" s="22"/>
      <c r="J87" s="22"/>
      <c r="K87" s="23"/>
      <c r="L87" s="22"/>
      <c r="M87" s="22"/>
      <c r="N87" s="22"/>
      <c r="O87" s="22"/>
      <c r="P87" s="22"/>
      <c r="Q87" s="22"/>
      <c r="R87" s="23"/>
      <c r="S87" s="71"/>
      <c r="T87" s="71"/>
      <c r="U87" s="24"/>
      <c r="V87" s="22"/>
      <c r="W87" s="22"/>
      <c r="X87" s="71"/>
      <c r="Y87" s="71"/>
      <c r="Z87" s="71"/>
      <c r="AA87" s="71"/>
      <c r="AB87" s="71"/>
      <c r="AC87" s="71"/>
      <c r="AD87" s="71"/>
      <c r="AE87" s="71"/>
      <c r="AF87" s="71"/>
      <c r="AG87" s="71"/>
      <c r="AH87" s="71"/>
    </row>
    <row r="88" spans="1:34" x14ac:dyDescent="0.3">
      <c r="A88" s="22"/>
      <c r="B88" s="71"/>
      <c r="C88" s="22"/>
      <c r="D88" s="22"/>
      <c r="E88" s="22"/>
      <c r="F88" s="23"/>
      <c r="G88" s="22"/>
      <c r="H88" s="22"/>
      <c r="I88" s="22"/>
      <c r="J88" s="22"/>
      <c r="K88" s="23"/>
      <c r="L88" s="22"/>
      <c r="M88" s="22"/>
      <c r="N88" s="22"/>
      <c r="O88" s="22"/>
      <c r="P88" s="22"/>
      <c r="Q88" s="22"/>
      <c r="R88" s="23"/>
      <c r="S88" s="71"/>
      <c r="T88" s="71"/>
      <c r="U88" s="24"/>
      <c r="V88" s="22"/>
      <c r="W88" s="22"/>
      <c r="X88" s="71"/>
      <c r="Y88" s="71"/>
      <c r="Z88" s="71"/>
      <c r="AA88" s="71"/>
      <c r="AB88" s="71"/>
      <c r="AC88" s="71"/>
      <c r="AD88" s="71"/>
      <c r="AE88" s="71"/>
      <c r="AF88" s="71"/>
      <c r="AG88" s="71"/>
      <c r="AH88" s="71"/>
    </row>
    <row r="89" spans="1:34" x14ac:dyDescent="0.3">
      <c r="A89" s="22"/>
      <c r="B89" s="71"/>
      <c r="C89" s="22"/>
      <c r="D89" s="22"/>
      <c r="E89" s="22"/>
      <c r="F89" s="23"/>
      <c r="G89" s="22"/>
      <c r="H89" s="22"/>
      <c r="I89" s="22"/>
      <c r="J89" s="22"/>
      <c r="K89" s="23"/>
      <c r="L89" s="22"/>
      <c r="M89" s="22"/>
      <c r="N89" s="22"/>
      <c r="O89" s="22"/>
      <c r="P89" s="22"/>
      <c r="Q89" s="22"/>
      <c r="R89" s="23"/>
      <c r="S89" s="71"/>
      <c r="T89" s="71"/>
      <c r="U89" s="24"/>
      <c r="V89" s="22"/>
      <c r="W89" s="22"/>
      <c r="X89" s="71"/>
      <c r="Y89" s="71"/>
      <c r="Z89" s="71"/>
      <c r="AA89" s="71"/>
      <c r="AB89" s="71"/>
      <c r="AC89" s="71"/>
      <c r="AD89" s="71"/>
      <c r="AE89" s="71"/>
      <c r="AF89" s="71"/>
      <c r="AG89" s="71"/>
      <c r="AH89" s="71"/>
    </row>
    <row r="90" spans="1:34" x14ac:dyDescent="0.3">
      <c r="A90" s="22"/>
      <c r="B90" s="71"/>
      <c r="C90" s="22"/>
      <c r="D90" s="22"/>
      <c r="E90" s="22"/>
      <c r="F90" s="23"/>
      <c r="G90" s="22"/>
      <c r="H90" s="22"/>
      <c r="I90" s="22"/>
      <c r="J90" s="22"/>
      <c r="K90" s="23"/>
      <c r="L90" s="22"/>
      <c r="M90" s="22"/>
      <c r="N90" s="22"/>
      <c r="O90" s="22"/>
      <c r="P90" s="22"/>
      <c r="Q90" s="22"/>
      <c r="R90" s="23"/>
      <c r="S90" s="71"/>
      <c r="T90" s="71"/>
      <c r="U90" s="24"/>
      <c r="V90" s="22"/>
      <c r="W90" s="22"/>
      <c r="X90" s="71"/>
      <c r="Y90" s="71"/>
      <c r="Z90" s="71"/>
      <c r="AA90" s="71"/>
      <c r="AB90" s="71"/>
      <c r="AC90" s="71"/>
      <c r="AD90" s="71"/>
      <c r="AE90" s="71"/>
      <c r="AF90" s="71"/>
      <c r="AG90" s="71"/>
      <c r="AH90" s="71"/>
    </row>
    <row r="91" spans="1:34" x14ac:dyDescent="0.3">
      <c r="A91" s="22"/>
      <c r="B91" s="71"/>
      <c r="C91" s="22"/>
      <c r="D91" s="22"/>
      <c r="E91" s="22"/>
      <c r="F91" s="23"/>
      <c r="G91" s="22"/>
      <c r="H91" s="22"/>
      <c r="I91" s="22"/>
      <c r="J91" s="22"/>
      <c r="K91" s="23"/>
      <c r="L91" s="22"/>
      <c r="M91" s="22"/>
      <c r="N91" s="22"/>
      <c r="O91" s="22"/>
      <c r="P91" s="22"/>
      <c r="Q91" s="22"/>
      <c r="R91" s="23"/>
      <c r="S91" s="71"/>
      <c r="T91" s="71"/>
      <c r="U91" s="24"/>
      <c r="V91" s="22"/>
      <c r="W91" s="22"/>
      <c r="X91" s="71"/>
      <c r="Y91" s="71"/>
      <c r="Z91" s="71"/>
      <c r="AA91" s="71"/>
      <c r="AB91" s="71"/>
      <c r="AC91" s="71"/>
      <c r="AD91" s="71"/>
      <c r="AE91" s="71"/>
      <c r="AF91" s="71"/>
      <c r="AG91" s="71"/>
      <c r="AH91" s="71"/>
    </row>
    <row r="92" spans="1:34" x14ac:dyDescent="0.3">
      <c r="A92" s="22"/>
      <c r="B92" s="71"/>
      <c r="C92" s="22"/>
      <c r="D92" s="22"/>
      <c r="E92" s="22"/>
      <c r="F92" s="23"/>
      <c r="G92" s="22"/>
      <c r="H92" s="22"/>
      <c r="I92" s="22"/>
      <c r="J92" s="22"/>
      <c r="K92" s="23"/>
      <c r="L92" s="22"/>
      <c r="M92" s="22"/>
      <c r="N92" s="22"/>
      <c r="O92" s="22"/>
      <c r="P92" s="22"/>
      <c r="Q92" s="22"/>
      <c r="R92" s="23"/>
      <c r="S92" s="71"/>
      <c r="T92" s="71"/>
      <c r="U92" s="24"/>
      <c r="V92" s="22"/>
      <c r="W92" s="22"/>
      <c r="X92" s="71"/>
      <c r="Y92" s="71"/>
      <c r="Z92" s="71"/>
      <c r="AA92" s="71"/>
      <c r="AB92" s="71"/>
      <c r="AC92" s="71"/>
      <c r="AD92" s="71"/>
      <c r="AE92" s="71"/>
      <c r="AF92" s="71"/>
      <c r="AG92" s="71"/>
      <c r="AH92" s="71"/>
    </row>
    <row r="93" spans="1:34" x14ac:dyDescent="0.3">
      <c r="A93" s="22"/>
      <c r="B93" s="71"/>
      <c r="C93" s="22"/>
      <c r="D93" s="22"/>
      <c r="E93" s="22"/>
      <c r="F93" s="23"/>
      <c r="G93" s="22"/>
      <c r="H93" s="22"/>
      <c r="I93" s="22"/>
      <c r="J93" s="22"/>
      <c r="K93" s="23"/>
      <c r="L93" s="22"/>
      <c r="M93" s="22"/>
      <c r="N93" s="22"/>
      <c r="O93" s="22"/>
      <c r="P93" s="22"/>
      <c r="Q93" s="22"/>
      <c r="R93" s="23"/>
      <c r="S93" s="71"/>
      <c r="T93" s="71"/>
      <c r="U93" s="24"/>
      <c r="V93" s="22"/>
      <c r="W93" s="22"/>
      <c r="X93" s="71"/>
      <c r="Y93" s="71"/>
      <c r="Z93" s="71"/>
      <c r="AA93" s="71"/>
      <c r="AB93" s="71"/>
      <c r="AC93" s="71"/>
      <c r="AD93" s="71"/>
      <c r="AE93" s="71"/>
      <c r="AF93" s="71"/>
      <c r="AG93" s="71"/>
      <c r="AH93" s="71"/>
    </row>
    <row r="94" spans="1:34" x14ac:dyDescent="0.3">
      <c r="A94" s="22"/>
      <c r="B94" s="71"/>
      <c r="C94" s="22"/>
      <c r="D94" s="22"/>
      <c r="E94" s="22"/>
      <c r="F94" s="23"/>
      <c r="G94" s="22"/>
      <c r="H94" s="22"/>
      <c r="I94" s="22"/>
      <c r="J94" s="22"/>
      <c r="K94" s="23"/>
      <c r="L94" s="22"/>
      <c r="M94" s="22"/>
      <c r="N94" s="22"/>
      <c r="O94" s="22"/>
      <c r="P94" s="22"/>
      <c r="Q94" s="22"/>
      <c r="R94" s="23"/>
      <c r="S94" s="71"/>
      <c r="T94" s="71"/>
      <c r="U94" s="24"/>
      <c r="V94" s="22"/>
      <c r="W94" s="22"/>
      <c r="X94" s="71"/>
      <c r="Y94" s="71"/>
      <c r="Z94" s="71"/>
      <c r="AA94" s="71"/>
      <c r="AB94" s="71"/>
      <c r="AC94" s="71"/>
      <c r="AD94" s="71"/>
      <c r="AE94" s="71"/>
      <c r="AF94" s="71"/>
      <c r="AG94" s="71"/>
      <c r="AH94" s="71"/>
    </row>
    <row r="95" spans="1:34" x14ac:dyDescent="0.3">
      <c r="A95" s="22"/>
      <c r="B95" s="71"/>
      <c r="C95" s="22"/>
      <c r="D95" s="22"/>
      <c r="E95" s="22"/>
      <c r="F95" s="23"/>
      <c r="G95" s="22"/>
      <c r="H95" s="22"/>
      <c r="I95" s="22"/>
      <c r="J95" s="22"/>
      <c r="K95" s="23"/>
      <c r="L95" s="22"/>
      <c r="M95" s="22"/>
      <c r="N95" s="22"/>
      <c r="O95" s="22"/>
      <c r="P95" s="22"/>
      <c r="Q95" s="22"/>
      <c r="R95" s="23"/>
      <c r="S95" s="71"/>
      <c r="T95" s="71"/>
      <c r="U95" s="24"/>
      <c r="V95" s="22"/>
      <c r="W95" s="22"/>
      <c r="X95" s="71"/>
      <c r="Y95" s="71"/>
      <c r="Z95" s="71"/>
      <c r="AA95" s="71"/>
      <c r="AB95" s="71"/>
      <c r="AC95" s="71"/>
      <c r="AD95" s="71"/>
      <c r="AE95" s="71"/>
      <c r="AF95" s="71"/>
      <c r="AG95" s="71"/>
      <c r="AH95" s="71"/>
    </row>
    <row r="96" spans="1:34" x14ac:dyDescent="0.3">
      <c r="A96" s="22"/>
      <c r="B96" s="71"/>
      <c r="C96" s="22"/>
      <c r="D96" s="22"/>
      <c r="E96" s="22"/>
      <c r="F96" s="23"/>
      <c r="G96" s="22"/>
      <c r="H96" s="22"/>
      <c r="I96" s="22"/>
      <c r="J96" s="22"/>
      <c r="K96" s="23"/>
      <c r="L96" s="22"/>
      <c r="M96" s="22"/>
      <c r="N96" s="22"/>
      <c r="O96" s="22"/>
      <c r="P96" s="22"/>
      <c r="Q96" s="22"/>
      <c r="R96" s="23"/>
      <c r="S96" s="71"/>
      <c r="T96" s="71"/>
      <c r="U96" s="24"/>
      <c r="V96" s="22"/>
      <c r="W96" s="22"/>
      <c r="X96" s="71"/>
      <c r="Y96" s="71"/>
      <c r="Z96" s="71"/>
      <c r="AA96" s="71"/>
      <c r="AB96" s="71"/>
      <c r="AC96" s="71"/>
      <c r="AD96" s="71"/>
      <c r="AE96" s="71"/>
      <c r="AF96" s="71"/>
      <c r="AG96" s="71"/>
      <c r="AH96" s="71"/>
    </row>
    <row r="97" spans="1:34" x14ac:dyDescent="0.3">
      <c r="A97" s="22"/>
      <c r="B97" s="71"/>
      <c r="C97" s="22"/>
      <c r="D97" s="22"/>
      <c r="E97" s="22"/>
      <c r="F97" s="23"/>
      <c r="G97" s="22"/>
      <c r="H97" s="22"/>
      <c r="I97" s="22"/>
      <c r="J97" s="22"/>
      <c r="K97" s="23"/>
      <c r="L97" s="22"/>
      <c r="M97" s="22"/>
      <c r="N97" s="22"/>
      <c r="O97" s="22"/>
      <c r="P97" s="22"/>
      <c r="Q97" s="22"/>
      <c r="R97" s="23"/>
      <c r="S97" s="71"/>
      <c r="T97" s="71"/>
      <c r="U97" s="24"/>
      <c r="V97" s="22"/>
      <c r="W97" s="22"/>
      <c r="X97" s="71"/>
      <c r="Y97" s="71"/>
      <c r="Z97" s="71"/>
      <c r="AA97" s="71"/>
      <c r="AB97" s="71"/>
      <c r="AC97" s="71"/>
      <c r="AD97" s="71"/>
      <c r="AE97" s="71"/>
      <c r="AF97" s="71"/>
      <c r="AG97" s="71"/>
      <c r="AH97" s="71"/>
    </row>
    <row r="98" spans="1:34" x14ac:dyDescent="0.3">
      <c r="A98" s="22"/>
      <c r="B98" s="71"/>
      <c r="C98" s="22"/>
      <c r="D98" s="22"/>
      <c r="E98" s="22"/>
      <c r="F98" s="23"/>
      <c r="G98" s="22"/>
      <c r="H98" s="22"/>
      <c r="I98" s="22"/>
      <c r="J98" s="22"/>
      <c r="K98" s="23"/>
      <c r="L98" s="22"/>
      <c r="M98" s="22"/>
      <c r="N98" s="22"/>
      <c r="O98" s="22"/>
      <c r="P98" s="22"/>
      <c r="Q98" s="22"/>
      <c r="R98" s="23"/>
      <c r="S98" s="71"/>
      <c r="T98" s="71"/>
      <c r="U98" s="24"/>
      <c r="V98" s="22"/>
      <c r="W98" s="22"/>
      <c r="X98" s="71"/>
      <c r="Y98" s="71"/>
      <c r="Z98" s="71"/>
      <c r="AA98" s="71"/>
      <c r="AB98" s="71"/>
      <c r="AC98" s="71"/>
      <c r="AD98" s="71"/>
      <c r="AE98" s="71"/>
      <c r="AF98" s="71"/>
      <c r="AG98" s="71"/>
      <c r="AH98" s="71"/>
    </row>
    <row r="99" spans="1:34" x14ac:dyDescent="0.3">
      <c r="A99" s="22"/>
      <c r="B99" s="71"/>
      <c r="C99" s="22"/>
      <c r="D99" s="22"/>
      <c r="E99" s="22"/>
      <c r="F99" s="23"/>
      <c r="G99" s="22"/>
      <c r="H99" s="22"/>
      <c r="I99" s="22"/>
      <c r="J99" s="22"/>
      <c r="K99" s="23"/>
      <c r="L99" s="22"/>
      <c r="M99" s="22"/>
      <c r="N99" s="22"/>
      <c r="O99" s="22"/>
      <c r="P99" s="22"/>
      <c r="Q99" s="22"/>
      <c r="R99" s="23"/>
      <c r="S99" s="71"/>
      <c r="T99" s="71"/>
      <c r="U99" s="24"/>
      <c r="V99" s="22"/>
      <c r="W99" s="22"/>
      <c r="X99" s="71"/>
      <c r="Y99" s="71"/>
      <c r="Z99" s="71"/>
      <c r="AA99" s="71"/>
      <c r="AB99" s="71"/>
      <c r="AC99" s="71"/>
      <c r="AD99" s="71"/>
      <c r="AE99" s="71"/>
      <c r="AF99" s="71"/>
      <c r="AG99" s="71"/>
      <c r="AH99" s="71"/>
    </row>
    <row r="100" spans="1:34" x14ac:dyDescent="0.3">
      <c r="A100" s="22"/>
      <c r="B100" s="71"/>
      <c r="C100" s="22"/>
      <c r="D100" s="22"/>
      <c r="E100" s="22"/>
      <c r="F100" s="23"/>
      <c r="G100" s="22"/>
      <c r="H100" s="22"/>
      <c r="I100" s="22"/>
      <c r="J100" s="22"/>
      <c r="K100" s="23"/>
      <c r="L100" s="22"/>
      <c r="M100" s="22"/>
      <c r="N100" s="22"/>
      <c r="O100" s="22"/>
      <c r="P100" s="22"/>
      <c r="Q100" s="22"/>
      <c r="R100" s="23"/>
      <c r="S100" s="71"/>
      <c r="T100" s="71"/>
      <c r="U100" s="24"/>
      <c r="V100" s="22"/>
      <c r="W100" s="22"/>
      <c r="X100" s="71"/>
      <c r="Y100" s="71"/>
      <c r="Z100" s="71"/>
      <c r="AA100" s="71"/>
      <c r="AB100" s="71"/>
      <c r="AC100" s="71"/>
      <c r="AD100" s="71"/>
      <c r="AE100" s="71"/>
      <c r="AF100" s="71"/>
      <c r="AG100" s="71"/>
      <c r="AH100" s="71"/>
    </row>
    <row r="101" spans="1:34" x14ac:dyDescent="0.3">
      <c r="A101" s="22"/>
      <c r="B101" s="71"/>
      <c r="C101" s="22"/>
      <c r="D101" s="22"/>
      <c r="E101" s="22"/>
      <c r="F101" s="23"/>
      <c r="G101" s="22"/>
      <c r="H101" s="22"/>
      <c r="I101" s="22"/>
      <c r="J101" s="22"/>
      <c r="K101" s="23"/>
      <c r="L101" s="22"/>
      <c r="M101" s="22"/>
      <c r="N101" s="22"/>
      <c r="O101" s="22"/>
      <c r="P101" s="22"/>
      <c r="Q101" s="22"/>
      <c r="R101" s="23"/>
      <c r="S101" s="71"/>
      <c r="T101" s="71"/>
      <c r="U101" s="24"/>
      <c r="V101" s="22"/>
      <c r="W101" s="22"/>
      <c r="X101" s="71"/>
      <c r="Y101" s="71"/>
      <c r="Z101" s="71"/>
      <c r="AA101" s="71"/>
      <c r="AB101" s="71"/>
      <c r="AC101" s="71"/>
      <c r="AD101" s="71"/>
      <c r="AE101" s="71"/>
      <c r="AF101" s="71"/>
      <c r="AG101" s="71"/>
      <c r="AH101" s="71"/>
    </row>
    <row r="102" spans="1:34" x14ac:dyDescent="0.3">
      <c r="A102" s="22"/>
      <c r="B102" s="71"/>
      <c r="C102" s="22"/>
      <c r="D102" s="22"/>
      <c r="E102" s="22"/>
      <c r="F102" s="23"/>
      <c r="G102" s="22"/>
      <c r="H102" s="22"/>
      <c r="I102" s="22"/>
      <c r="J102" s="22"/>
      <c r="K102" s="23"/>
      <c r="L102" s="22"/>
      <c r="M102" s="22"/>
      <c r="N102" s="22"/>
      <c r="O102" s="22"/>
      <c r="P102" s="22"/>
      <c r="Q102" s="22"/>
      <c r="R102" s="23"/>
      <c r="S102" s="71"/>
      <c r="T102" s="71"/>
      <c r="U102" s="24"/>
      <c r="V102" s="22"/>
      <c r="W102" s="22"/>
      <c r="X102" s="71"/>
      <c r="Y102" s="71"/>
      <c r="Z102" s="71"/>
      <c r="AA102" s="71"/>
      <c r="AB102" s="71"/>
      <c r="AC102" s="71"/>
      <c r="AD102" s="71"/>
      <c r="AE102" s="71"/>
      <c r="AF102" s="71"/>
      <c r="AG102" s="71"/>
      <c r="AH102" s="71"/>
    </row>
    <row r="103" spans="1:34" x14ac:dyDescent="0.3">
      <c r="A103" s="22"/>
      <c r="B103" s="71"/>
      <c r="C103" s="22"/>
      <c r="D103" s="22"/>
      <c r="E103" s="22"/>
      <c r="F103" s="23"/>
      <c r="G103" s="22"/>
      <c r="H103" s="22"/>
      <c r="I103" s="22"/>
      <c r="J103" s="22"/>
      <c r="K103" s="23"/>
      <c r="L103" s="22"/>
      <c r="M103" s="22"/>
      <c r="N103" s="22"/>
      <c r="O103" s="22"/>
      <c r="P103" s="22"/>
      <c r="Q103" s="22"/>
      <c r="R103" s="23"/>
      <c r="S103" s="71"/>
      <c r="T103" s="71"/>
      <c r="U103" s="24"/>
      <c r="V103" s="22"/>
      <c r="W103" s="22"/>
      <c r="X103" s="71"/>
      <c r="Y103" s="71"/>
      <c r="Z103" s="71"/>
      <c r="AA103" s="71"/>
      <c r="AB103" s="71"/>
      <c r="AC103" s="71"/>
      <c r="AD103" s="71"/>
      <c r="AE103" s="71"/>
      <c r="AF103" s="71"/>
      <c r="AG103" s="71"/>
      <c r="AH103" s="71"/>
    </row>
    <row r="104" spans="1:34" x14ac:dyDescent="0.3">
      <c r="A104" s="22"/>
      <c r="B104" s="71"/>
      <c r="C104" s="22"/>
      <c r="D104" s="22"/>
      <c r="E104" s="22"/>
      <c r="F104" s="23"/>
      <c r="G104" s="22"/>
      <c r="H104" s="22"/>
      <c r="I104" s="22"/>
      <c r="J104" s="22"/>
      <c r="K104" s="23"/>
      <c r="L104" s="22"/>
      <c r="M104" s="22"/>
      <c r="N104" s="22"/>
      <c r="O104" s="22"/>
      <c r="P104" s="22"/>
      <c r="Q104" s="22"/>
      <c r="R104" s="23"/>
      <c r="S104" s="71"/>
      <c r="T104" s="71"/>
      <c r="U104" s="24"/>
      <c r="V104" s="22"/>
      <c r="W104" s="22"/>
      <c r="X104" s="71"/>
      <c r="Y104" s="71"/>
      <c r="Z104" s="71"/>
      <c r="AA104" s="71"/>
      <c r="AB104" s="71"/>
      <c r="AC104" s="71"/>
      <c r="AD104" s="71"/>
      <c r="AE104" s="71"/>
      <c r="AF104" s="71"/>
      <c r="AG104" s="71"/>
      <c r="AH104" s="71"/>
    </row>
    <row r="105" spans="1:34" x14ac:dyDescent="0.3">
      <c r="A105" s="22"/>
      <c r="B105" s="71"/>
      <c r="C105" s="22"/>
      <c r="D105" s="22"/>
      <c r="E105" s="22"/>
      <c r="F105" s="23"/>
      <c r="G105" s="22"/>
      <c r="H105" s="22"/>
      <c r="I105" s="22"/>
      <c r="J105" s="22"/>
      <c r="K105" s="23"/>
      <c r="L105" s="22"/>
      <c r="M105" s="22"/>
      <c r="N105" s="22"/>
      <c r="O105" s="22"/>
      <c r="P105" s="22"/>
      <c r="Q105" s="22"/>
      <c r="R105" s="23"/>
      <c r="S105" s="71"/>
      <c r="T105" s="71"/>
      <c r="U105" s="24"/>
      <c r="V105" s="22"/>
      <c r="W105" s="22"/>
      <c r="X105" s="71"/>
      <c r="Y105" s="71"/>
      <c r="Z105" s="71"/>
      <c r="AA105" s="71"/>
      <c r="AB105" s="71"/>
      <c r="AC105" s="71"/>
      <c r="AD105" s="71"/>
      <c r="AE105" s="71"/>
      <c r="AF105" s="71"/>
      <c r="AG105" s="71"/>
      <c r="AH105" s="71"/>
    </row>
    <row r="106" spans="1:34" x14ac:dyDescent="0.3">
      <c r="A106" s="22"/>
      <c r="B106" s="71"/>
      <c r="C106" s="22"/>
      <c r="D106" s="22"/>
      <c r="E106" s="22"/>
      <c r="F106" s="23"/>
      <c r="G106" s="22"/>
      <c r="H106" s="22"/>
      <c r="I106" s="22"/>
      <c r="J106" s="22"/>
      <c r="K106" s="23"/>
      <c r="L106" s="22"/>
      <c r="M106" s="22"/>
      <c r="N106" s="22"/>
      <c r="O106" s="22"/>
      <c r="P106" s="22"/>
      <c r="Q106" s="22"/>
      <c r="R106" s="23"/>
      <c r="S106" s="71"/>
      <c r="T106" s="71"/>
      <c r="U106" s="24"/>
      <c r="V106" s="22"/>
      <c r="W106" s="22"/>
      <c r="X106" s="71"/>
      <c r="Y106" s="71"/>
      <c r="Z106" s="71"/>
      <c r="AA106" s="71"/>
      <c r="AB106" s="71"/>
      <c r="AC106" s="71"/>
      <c r="AD106" s="71"/>
      <c r="AE106" s="71"/>
      <c r="AF106" s="71"/>
      <c r="AG106" s="71"/>
      <c r="AH106" s="71"/>
    </row>
    <row r="107" spans="1:34" x14ac:dyDescent="0.3">
      <c r="A107" s="22"/>
      <c r="B107" s="71"/>
      <c r="C107" s="22"/>
      <c r="D107" s="22"/>
      <c r="E107" s="22"/>
      <c r="F107" s="23"/>
      <c r="G107" s="22"/>
      <c r="H107" s="22"/>
      <c r="I107" s="22"/>
      <c r="J107" s="22"/>
      <c r="K107" s="23"/>
      <c r="L107" s="22"/>
      <c r="M107" s="22"/>
      <c r="N107" s="22"/>
      <c r="O107" s="22"/>
      <c r="P107" s="22"/>
      <c r="Q107" s="22"/>
      <c r="R107" s="23"/>
      <c r="S107" s="71"/>
      <c r="T107" s="71"/>
      <c r="U107" s="24"/>
      <c r="V107" s="22"/>
      <c r="W107" s="22"/>
      <c r="X107" s="71"/>
      <c r="Y107" s="71"/>
      <c r="Z107" s="71"/>
      <c r="AA107" s="71"/>
      <c r="AB107" s="71"/>
      <c r="AC107" s="71"/>
      <c r="AD107" s="71"/>
      <c r="AE107" s="71"/>
      <c r="AF107" s="71"/>
      <c r="AG107" s="71"/>
      <c r="AH107" s="71"/>
    </row>
    <row r="108" spans="1:34" x14ac:dyDescent="0.3">
      <c r="A108" s="22"/>
      <c r="B108" s="71"/>
      <c r="C108" s="22"/>
      <c r="D108" s="22"/>
      <c r="E108" s="22"/>
      <c r="F108" s="23"/>
      <c r="G108" s="22"/>
      <c r="H108" s="22"/>
      <c r="I108" s="22"/>
      <c r="J108" s="22"/>
      <c r="K108" s="23"/>
      <c r="L108" s="22"/>
      <c r="M108" s="22"/>
      <c r="N108" s="22"/>
      <c r="O108" s="22"/>
      <c r="P108" s="22"/>
      <c r="Q108" s="22"/>
      <c r="R108" s="23"/>
      <c r="S108" s="71"/>
      <c r="T108" s="71"/>
      <c r="U108" s="24"/>
      <c r="V108" s="22"/>
      <c r="W108" s="22"/>
      <c r="X108" s="71"/>
      <c r="Y108" s="71"/>
      <c r="Z108" s="71"/>
      <c r="AA108" s="71"/>
      <c r="AB108" s="71"/>
      <c r="AC108" s="71"/>
      <c r="AD108" s="71"/>
      <c r="AE108" s="71"/>
      <c r="AF108" s="71"/>
      <c r="AG108" s="71"/>
      <c r="AH108" s="71"/>
    </row>
    <row r="109" spans="1:34" x14ac:dyDescent="0.3">
      <c r="A109" s="22"/>
      <c r="B109" s="71"/>
      <c r="C109" s="22"/>
      <c r="D109" s="22"/>
      <c r="E109" s="22"/>
      <c r="F109" s="23"/>
      <c r="G109" s="22"/>
      <c r="H109" s="22"/>
      <c r="I109" s="22"/>
      <c r="J109" s="22"/>
      <c r="K109" s="23"/>
      <c r="L109" s="22"/>
      <c r="M109" s="22"/>
      <c r="N109" s="22"/>
      <c r="O109" s="22"/>
      <c r="P109" s="22"/>
      <c r="Q109" s="22"/>
      <c r="R109" s="23"/>
      <c r="S109" s="71"/>
      <c r="T109" s="71"/>
      <c r="U109" s="24"/>
      <c r="V109" s="22"/>
      <c r="W109" s="22"/>
      <c r="X109" s="71"/>
      <c r="Y109" s="71"/>
      <c r="Z109" s="71"/>
      <c r="AA109" s="71"/>
      <c r="AB109" s="71"/>
      <c r="AC109" s="71"/>
      <c r="AD109" s="71"/>
      <c r="AE109" s="71"/>
      <c r="AF109" s="71"/>
      <c r="AG109" s="71"/>
      <c r="AH109" s="71"/>
    </row>
    <row r="110" spans="1:34" x14ac:dyDescent="0.3">
      <c r="A110" s="22"/>
      <c r="B110" s="71"/>
      <c r="C110" s="22"/>
      <c r="D110" s="22"/>
      <c r="E110" s="22"/>
      <c r="F110" s="23"/>
      <c r="G110" s="22"/>
      <c r="H110" s="22"/>
      <c r="I110" s="22"/>
      <c r="J110" s="22"/>
      <c r="K110" s="23"/>
      <c r="L110" s="22"/>
      <c r="M110" s="22"/>
      <c r="N110" s="22"/>
      <c r="O110" s="22"/>
      <c r="P110" s="22"/>
      <c r="Q110" s="22"/>
      <c r="R110" s="23"/>
      <c r="S110" s="71"/>
      <c r="T110" s="71"/>
      <c r="U110" s="24"/>
      <c r="V110" s="22"/>
      <c r="W110" s="22"/>
      <c r="X110" s="71"/>
      <c r="Y110" s="71"/>
      <c r="Z110" s="71"/>
      <c r="AA110" s="71"/>
      <c r="AB110" s="71"/>
      <c r="AC110" s="71"/>
      <c r="AD110" s="71"/>
      <c r="AE110" s="71"/>
      <c r="AF110" s="71"/>
      <c r="AG110" s="71"/>
      <c r="AH110" s="71"/>
    </row>
    <row r="111" spans="1:34" x14ac:dyDescent="0.3">
      <c r="A111" s="22"/>
      <c r="B111" s="71"/>
      <c r="C111" s="22"/>
      <c r="D111" s="22"/>
      <c r="E111" s="22"/>
      <c r="F111" s="23"/>
      <c r="G111" s="22"/>
      <c r="H111" s="22"/>
      <c r="I111" s="22"/>
      <c r="J111" s="22"/>
      <c r="K111" s="23"/>
      <c r="L111" s="22"/>
      <c r="M111" s="22"/>
      <c r="N111" s="22"/>
      <c r="O111" s="22"/>
      <c r="P111" s="22"/>
      <c r="Q111" s="22"/>
      <c r="R111" s="23"/>
      <c r="S111" s="71"/>
      <c r="T111" s="71"/>
      <c r="U111" s="24"/>
      <c r="V111" s="22"/>
      <c r="W111" s="22"/>
      <c r="X111" s="71"/>
      <c r="Y111" s="71"/>
      <c r="Z111" s="71"/>
      <c r="AA111" s="71"/>
      <c r="AB111" s="71"/>
      <c r="AC111" s="71"/>
      <c r="AD111" s="71"/>
      <c r="AE111" s="71"/>
      <c r="AF111" s="71"/>
      <c r="AG111" s="71"/>
      <c r="AH111" s="71"/>
    </row>
    <row r="112" spans="1:34" x14ac:dyDescent="0.3">
      <c r="A112" s="22"/>
      <c r="B112" s="71"/>
      <c r="C112" s="22"/>
      <c r="D112" s="22"/>
      <c r="E112" s="22"/>
      <c r="F112" s="23"/>
      <c r="G112" s="22"/>
      <c r="H112" s="22"/>
      <c r="I112" s="22"/>
      <c r="J112" s="22"/>
      <c r="K112" s="23"/>
      <c r="L112" s="22"/>
      <c r="M112" s="22"/>
      <c r="N112" s="22"/>
      <c r="O112" s="22"/>
      <c r="P112" s="22"/>
      <c r="Q112" s="22"/>
      <c r="R112" s="23"/>
      <c r="S112" s="71"/>
      <c r="T112" s="71"/>
      <c r="U112" s="24"/>
      <c r="V112" s="22"/>
      <c r="W112" s="22"/>
      <c r="X112" s="71"/>
      <c r="Y112" s="71"/>
      <c r="Z112" s="71"/>
      <c r="AA112" s="71"/>
      <c r="AB112" s="71"/>
      <c r="AC112" s="71"/>
      <c r="AD112" s="71"/>
      <c r="AE112" s="71"/>
      <c r="AF112" s="71"/>
      <c r="AG112" s="71"/>
      <c r="AH112" s="71"/>
    </row>
    <row r="113" spans="1:34" x14ac:dyDescent="0.3">
      <c r="A113" s="22"/>
      <c r="B113" s="71"/>
      <c r="C113" s="22"/>
      <c r="D113" s="22"/>
      <c r="E113" s="22"/>
      <c r="F113" s="23"/>
      <c r="G113" s="22"/>
      <c r="H113" s="22"/>
      <c r="I113" s="22"/>
      <c r="J113" s="22"/>
      <c r="K113" s="23"/>
      <c r="L113" s="22"/>
      <c r="M113" s="22"/>
      <c r="N113" s="22"/>
      <c r="O113" s="22"/>
      <c r="P113" s="22"/>
      <c r="Q113" s="22"/>
      <c r="R113" s="23"/>
      <c r="S113" s="71"/>
      <c r="T113" s="71"/>
      <c r="U113" s="24"/>
      <c r="V113" s="22"/>
      <c r="W113" s="22"/>
      <c r="X113" s="71"/>
      <c r="Y113" s="71"/>
      <c r="Z113" s="71"/>
      <c r="AA113" s="71"/>
      <c r="AB113" s="71"/>
      <c r="AC113" s="71"/>
      <c r="AD113" s="71"/>
      <c r="AE113" s="71"/>
      <c r="AF113" s="71"/>
      <c r="AG113" s="71"/>
      <c r="AH113" s="71"/>
    </row>
    <row r="114" spans="1:34" x14ac:dyDescent="0.3">
      <c r="A114" s="22"/>
      <c r="B114" s="71"/>
      <c r="C114" s="22"/>
      <c r="D114" s="22"/>
      <c r="E114" s="22"/>
      <c r="F114" s="23"/>
      <c r="G114" s="22"/>
      <c r="H114" s="22"/>
      <c r="I114" s="22"/>
      <c r="J114" s="22"/>
      <c r="K114" s="23"/>
      <c r="L114" s="22"/>
      <c r="M114" s="22"/>
      <c r="N114" s="22"/>
      <c r="O114" s="22"/>
      <c r="P114" s="22"/>
      <c r="Q114" s="22"/>
      <c r="R114" s="23"/>
      <c r="S114" s="71"/>
      <c r="T114" s="71"/>
      <c r="U114" s="24"/>
      <c r="V114" s="22"/>
      <c r="W114" s="22"/>
      <c r="X114" s="71"/>
      <c r="Y114" s="71"/>
      <c r="Z114" s="71"/>
      <c r="AA114" s="71"/>
      <c r="AB114" s="71"/>
      <c r="AC114" s="71"/>
      <c r="AD114" s="71"/>
      <c r="AE114" s="71"/>
      <c r="AF114" s="71"/>
      <c r="AG114" s="71"/>
      <c r="AH114" s="71"/>
    </row>
    <row r="115" spans="1:34" x14ac:dyDescent="0.3">
      <c r="A115" s="22"/>
      <c r="B115" s="71"/>
      <c r="C115" s="22"/>
      <c r="D115" s="22"/>
      <c r="E115" s="22"/>
      <c r="F115" s="23"/>
      <c r="G115" s="22"/>
      <c r="H115" s="22"/>
      <c r="I115" s="22"/>
      <c r="J115" s="22"/>
      <c r="K115" s="23"/>
      <c r="L115" s="22"/>
      <c r="M115" s="22"/>
      <c r="N115" s="22"/>
      <c r="O115" s="22"/>
      <c r="P115" s="22"/>
      <c r="Q115" s="22"/>
      <c r="R115" s="23"/>
      <c r="S115" s="71"/>
      <c r="T115" s="71"/>
      <c r="U115" s="24"/>
      <c r="V115" s="22"/>
      <c r="W115" s="22"/>
      <c r="X115" s="71"/>
      <c r="Y115" s="71"/>
      <c r="Z115" s="71"/>
      <c r="AA115" s="71"/>
      <c r="AB115" s="71"/>
      <c r="AC115" s="71"/>
      <c r="AD115" s="71"/>
      <c r="AE115" s="71"/>
      <c r="AF115" s="71"/>
      <c r="AG115" s="71"/>
      <c r="AH115" s="71"/>
    </row>
    <row r="116" spans="1:34" x14ac:dyDescent="0.3">
      <c r="A116" s="22"/>
      <c r="B116" s="71"/>
      <c r="C116" s="22"/>
      <c r="D116" s="22"/>
      <c r="E116" s="22"/>
      <c r="F116" s="23"/>
      <c r="G116" s="22"/>
      <c r="H116" s="22"/>
      <c r="I116" s="22"/>
      <c r="J116" s="22"/>
      <c r="K116" s="23"/>
      <c r="L116" s="22"/>
      <c r="M116" s="22"/>
      <c r="N116" s="22"/>
      <c r="O116" s="22"/>
      <c r="P116" s="22"/>
      <c r="Q116" s="22"/>
      <c r="R116" s="23"/>
      <c r="S116" s="71"/>
      <c r="T116" s="71"/>
      <c r="U116" s="24"/>
      <c r="V116" s="22"/>
      <c r="W116" s="22"/>
      <c r="X116" s="71"/>
      <c r="Y116" s="71"/>
      <c r="Z116" s="71"/>
      <c r="AA116" s="71"/>
      <c r="AB116" s="71"/>
      <c r="AC116" s="71"/>
      <c r="AD116" s="71"/>
      <c r="AE116" s="71"/>
      <c r="AF116" s="71"/>
      <c r="AG116" s="71"/>
      <c r="AH116" s="71"/>
    </row>
    <row r="117" spans="1:34" x14ac:dyDescent="0.3">
      <c r="A117" s="22"/>
      <c r="B117" s="71"/>
      <c r="C117" s="22"/>
      <c r="D117" s="22"/>
      <c r="E117" s="22"/>
      <c r="F117" s="23"/>
      <c r="G117" s="22"/>
      <c r="H117" s="22"/>
      <c r="I117" s="22"/>
      <c r="J117" s="22"/>
      <c r="K117" s="23"/>
      <c r="L117" s="22"/>
      <c r="M117" s="22"/>
      <c r="N117" s="22"/>
      <c r="O117" s="22"/>
      <c r="P117" s="22"/>
      <c r="Q117" s="22"/>
      <c r="R117" s="23"/>
      <c r="S117" s="71"/>
      <c r="T117" s="71"/>
      <c r="U117" s="24"/>
      <c r="V117" s="22"/>
      <c r="W117" s="22"/>
      <c r="X117" s="71"/>
      <c r="Y117" s="71"/>
      <c r="Z117" s="71"/>
      <c r="AA117" s="71"/>
      <c r="AB117" s="71"/>
      <c r="AC117" s="71"/>
      <c r="AD117" s="71"/>
      <c r="AE117" s="71"/>
      <c r="AF117" s="71"/>
      <c r="AG117" s="71"/>
      <c r="AH117" s="71"/>
    </row>
    <row r="118" spans="1:34" x14ac:dyDescent="0.3">
      <c r="A118" s="22"/>
      <c r="B118" s="71"/>
      <c r="C118" s="22"/>
      <c r="D118" s="22"/>
      <c r="E118" s="22"/>
      <c r="F118" s="23"/>
      <c r="G118" s="22"/>
      <c r="H118" s="22"/>
      <c r="I118" s="22"/>
      <c r="J118" s="22"/>
      <c r="K118" s="23"/>
      <c r="L118" s="22"/>
      <c r="M118" s="22"/>
      <c r="N118" s="22"/>
      <c r="O118" s="22"/>
      <c r="P118" s="22"/>
      <c r="Q118" s="22"/>
      <c r="R118" s="23"/>
      <c r="S118" s="71"/>
      <c r="T118" s="71"/>
      <c r="U118" s="24"/>
      <c r="V118" s="22"/>
      <c r="W118" s="22"/>
      <c r="X118" s="71"/>
      <c r="Y118" s="71"/>
      <c r="Z118" s="71"/>
      <c r="AA118" s="71"/>
      <c r="AB118" s="71"/>
      <c r="AC118" s="71"/>
      <c r="AD118" s="71"/>
      <c r="AE118" s="71"/>
      <c r="AF118" s="71"/>
      <c r="AG118" s="71"/>
      <c r="AH118" s="71"/>
    </row>
    <row r="119" spans="1:34" x14ac:dyDescent="0.3">
      <c r="A119" s="22"/>
      <c r="B119" s="71"/>
      <c r="C119" s="22"/>
      <c r="D119" s="22"/>
      <c r="E119" s="22"/>
      <c r="F119" s="23"/>
      <c r="G119" s="22"/>
      <c r="H119" s="22"/>
      <c r="I119" s="22"/>
      <c r="J119" s="22"/>
      <c r="K119" s="23"/>
      <c r="L119" s="22"/>
      <c r="M119" s="22"/>
      <c r="N119" s="22"/>
      <c r="O119" s="22"/>
      <c r="P119" s="22"/>
      <c r="Q119" s="22"/>
      <c r="R119" s="23"/>
      <c r="S119" s="71"/>
      <c r="T119" s="71"/>
      <c r="U119" s="24"/>
      <c r="V119" s="22"/>
      <c r="W119" s="22"/>
      <c r="X119" s="71"/>
      <c r="Y119" s="71"/>
      <c r="Z119" s="71"/>
      <c r="AA119" s="71"/>
      <c r="AB119" s="71"/>
      <c r="AC119" s="71"/>
      <c r="AD119" s="71"/>
      <c r="AE119" s="71"/>
      <c r="AF119" s="71"/>
      <c r="AG119" s="71"/>
      <c r="AH119" s="71"/>
    </row>
    <row r="120" spans="1:34" x14ac:dyDescent="0.3">
      <c r="A120" s="22"/>
      <c r="B120" s="71"/>
      <c r="C120" s="22"/>
      <c r="D120" s="22"/>
      <c r="E120" s="22"/>
      <c r="F120" s="23"/>
      <c r="G120" s="22"/>
      <c r="H120" s="22"/>
      <c r="I120" s="22"/>
      <c r="J120" s="22"/>
      <c r="K120" s="23"/>
      <c r="L120" s="22"/>
      <c r="M120" s="22"/>
      <c r="N120" s="22"/>
      <c r="O120" s="22"/>
      <c r="P120" s="22"/>
      <c r="Q120" s="22"/>
      <c r="R120" s="23"/>
      <c r="S120" s="71"/>
      <c r="T120" s="71"/>
      <c r="U120" s="24"/>
      <c r="V120" s="22"/>
      <c r="W120" s="22"/>
      <c r="X120" s="71"/>
      <c r="Y120" s="71"/>
      <c r="Z120" s="71"/>
      <c r="AA120" s="71"/>
      <c r="AB120" s="71"/>
      <c r="AC120" s="71"/>
      <c r="AD120" s="71"/>
      <c r="AE120" s="71"/>
      <c r="AF120" s="71"/>
      <c r="AG120" s="71"/>
      <c r="AH120" s="71"/>
    </row>
    <row r="121" spans="1:34" x14ac:dyDescent="0.3">
      <c r="A121" s="22"/>
      <c r="B121" s="71"/>
      <c r="C121" s="22"/>
      <c r="D121" s="22"/>
      <c r="E121" s="22"/>
      <c r="F121" s="23"/>
      <c r="G121" s="22"/>
      <c r="H121" s="22"/>
      <c r="I121" s="22"/>
      <c r="J121" s="22"/>
      <c r="K121" s="23"/>
      <c r="L121" s="22"/>
      <c r="M121" s="22"/>
      <c r="N121" s="22"/>
      <c r="O121" s="22"/>
      <c r="P121" s="22"/>
      <c r="Q121" s="22"/>
      <c r="R121" s="23"/>
      <c r="S121" s="71"/>
      <c r="T121" s="71"/>
      <c r="U121" s="24"/>
      <c r="V121" s="22"/>
      <c r="W121" s="22"/>
      <c r="X121" s="71"/>
      <c r="Y121" s="71"/>
      <c r="Z121" s="71"/>
      <c r="AA121" s="71"/>
      <c r="AB121" s="71"/>
      <c r="AC121" s="71"/>
      <c r="AD121" s="71"/>
      <c r="AE121" s="71"/>
      <c r="AF121" s="71"/>
      <c r="AG121" s="71"/>
      <c r="AH121" s="71"/>
    </row>
    <row r="122" spans="1:34" x14ac:dyDescent="0.3">
      <c r="A122" s="22"/>
      <c r="B122" s="71"/>
      <c r="C122" s="22"/>
      <c r="D122" s="22"/>
      <c r="E122" s="22"/>
      <c r="F122" s="23"/>
      <c r="G122" s="22"/>
      <c r="H122" s="22"/>
      <c r="I122" s="22"/>
      <c r="J122" s="22"/>
      <c r="K122" s="23"/>
      <c r="L122" s="22"/>
      <c r="M122" s="22"/>
      <c r="N122" s="22"/>
      <c r="O122" s="22"/>
      <c r="P122" s="22"/>
      <c r="Q122" s="22"/>
      <c r="R122" s="23"/>
      <c r="S122" s="71"/>
      <c r="T122" s="71"/>
      <c r="U122" s="24"/>
      <c r="V122" s="22"/>
      <c r="W122" s="22"/>
      <c r="X122" s="71"/>
      <c r="Y122" s="71"/>
      <c r="Z122" s="71"/>
      <c r="AA122" s="71"/>
      <c r="AB122" s="71"/>
      <c r="AC122" s="71"/>
      <c r="AD122" s="71"/>
      <c r="AE122" s="71"/>
      <c r="AF122" s="71"/>
      <c r="AG122" s="71"/>
      <c r="AH122" s="71"/>
    </row>
    <row r="123" spans="1:34" x14ac:dyDescent="0.3">
      <c r="A123" s="22"/>
      <c r="B123" s="71"/>
      <c r="C123" s="22"/>
      <c r="D123" s="22"/>
      <c r="E123" s="22"/>
      <c r="F123" s="23"/>
      <c r="G123" s="22"/>
      <c r="H123" s="22"/>
      <c r="I123" s="22"/>
      <c r="J123" s="22"/>
      <c r="K123" s="23"/>
      <c r="L123" s="22"/>
      <c r="M123" s="22"/>
      <c r="N123" s="22"/>
      <c r="O123" s="22"/>
      <c r="P123" s="22"/>
      <c r="Q123" s="22"/>
      <c r="R123" s="23"/>
      <c r="S123" s="71"/>
      <c r="T123" s="71"/>
      <c r="U123" s="24"/>
      <c r="V123" s="22"/>
      <c r="W123" s="22"/>
      <c r="X123" s="71"/>
      <c r="Y123" s="71"/>
      <c r="Z123" s="71"/>
      <c r="AA123" s="71"/>
      <c r="AB123" s="71"/>
      <c r="AC123" s="71"/>
      <c r="AD123" s="71"/>
      <c r="AE123" s="71"/>
      <c r="AF123" s="71"/>
      <c r="AG123" s="71"/>
      <c r="AH123" s="71"/>
    </row>
    <row r="124" spans="1:34" x14ac:dyDescent="0.3">
      <c r="A124" s="22"/>
      <c r="B124" s="71"/>
      <c r="C124" s="22"/>
      <c r="D124" s="22"/>
      <c r="E124" s="22"/>
      <c r="F124" s="23"/>
      <c r="G124" s="22"/>
      <c r="H124" s="22"/>
      <c r="I124" s="22"/>
      <c r="J124" s="22"/>
      <c r="K124" s="23"/>
      <c r="L124" s="22"/>
      <c r="M124" s="22"/>
      <c r="N124" s="22"/>
      <c r="O124" s="22"/>
      <c r="P124" s="22"/>
      <c r="Q124" s="22"/>
      <c r="R124" s="23"/>
      <c r="S124" s="71"/>
      <c r="T124" s="71"/>
      <c r="U124" s="24"/>
      <c r="V124" s="22"/>
      <c r="W124" s="22"/>
      <c r="X124" s="71"/>
      <c r="Y124" s="71"/>
      <c r="Z124" s="71"/>
      <c r="AA124" s="71"/>
      <c r="AB124" s="71"/>
      <c r="AC124" s="71"/>
      <c r="AD124" s="71"/>
      <c r="AE124" s="71"/>
      <c r="AF124" s="71"/>
      <c r="AG124" s="71"/>
      <c r="AH124" s="71"/>
    </row>
    <row r="125" spans="1:34" x14ac:dyDescent="0.3">
      <c r="A125" s="22"/>
      <c r="B125" s="71"/>
      <c r="C125" s="22"/>
      <c r="D125" s="22"/>
      <c r="E125" s="22"/>
      <c r="F125" s="23"/>
      <c r="G125" s="22"/>
      <c r="H125" s="22"/>
      <c r="I125" s="22"/>
      <c r="J125" s="22"/>
      <c r="K125" s="23"/>
      <c r="L125" s="22"/>
      <c r="M125" s="22"/>
      <c r="N125" s="22"/>
      <c r="O125" s="22"/>
      <c r="P125" s="22"/>
      <c r="Q125" s="22"/>
      <c r="R125" s="23"/>
      <c r="S125" s="71"/>
      <c r="T125" s="71"/>
      <c r="U125" s="24"/>
      <c r="V125" s="22"/>
      <c r="W125" s="22"/>
      <c r="X125" s="71"/>
      <c r="Y125" s="71"/>
      <c r="Z125" s="71"/>
      <c r="AA125" s="71"/>
      <c r="AB125" s="71"/>
      <c r="AC125" s="71"/>
      <c r="AD125" s="71"/>
      <c r="AE125" s="71"/>
      <c r="AF125" s="71"/>
      <c r="AG125" s="71"/>
      <c r="AH125" s="71"/>
    </row>
    <row r="126" spans="1:34" x14ac:dyDescent="0.3">
      <c r="A126" s="22"/>
      <c r="B126" s="71"/>
      <c r="C126" s="22"/>
      <c r="D126" s="22"/>
      <c r="E126" s="22"/>
      <c r="F126" s="23"/>
      <c r="G126" s="22"/>
      <c r="H126" s="22"/>
      <c r="I126" s="22"/>
      <c r="J126" s="22"/>
      <c r="K126" s="23"/>
      <c r="L126" s="22"/>
      <c r="M126" s="22"/>
      <c r="N126" s="22"/>
      <c r="O126" s="22"/>
      <c r="P126" s="22"/>
      <c r="Q126" s="22"/>
      <c r="R126" s="23"/>
      <c r="S126" s="71"/>
      <c r="T126" s="71"/>
      <c r="U126" s="24"/>
      <c r="V126" s="22"/>
      <c r="W126" s="22"/>
      <c r="X126" s="71"/>
      <c r="Y126" s="71"/>
      <c r="Z126" s="71"/>
      <c r="AA126" s="71"/>
      <c r="AB126" s="71"/>
      <c r="AC126" s="71"/>
      <c r="AD126" s="71"/>
      <c r="AE126" s="71"/>
      <c r="AF126" s="71"/>
      <c r="AG126" s="71"/>
      <c r="AH126" s="71"/>
    </row>
    <row r="127" spans="1:34" x14ac:dyDescent="0.3">
      <c r="A127" s="22"/>
      <c r="B127" s="71"/>
      <c r="C127" s="22"/>
      <c r="D127" s="22"/>
      <c r="E127" s="22"/>
      <c r="F127" s="23"/>
      <c r="G127" s="22"/>
      <c r="H127" s="22"/>
      <c r="I127" s="22"/>
      <c r="J127" s="22"/>
      <c r="K127" s="23"/>
      <c r="L127" s="22"/>
      <c r="M127" s="22"/>
      <c r="N127" s="22"/>
      <c r="O127" s="22"/>
      <c r="P127" s="22"/>
      <c r="Q127" s="22"/>
      <c r="R127" s="23"/>
      <c r="S127" s="71"/>
      <c r="T127" s="71"/>
      <c r="U127" s="24"/>
      <c r="V127" s="22"/>
      <c r="W127" s="22"/>
      <c r="X127" s="71"/>
      <c r="Y127" s="71"/>
      <c r="Z127" s="71"/>
      <c r="AA127" s="71"/>
      <c r="AB127" s="71"/>
      <c r="AC127" s="71"/>
      <c r="AD127" s="71"/>
      <c r="AE127" s="71"/>
      <c r="AF127" s="71"/>
      <c r="AG127" s="71"/>
      <c r="AH127" s="71"/>
    </row>
    <row r="128" spans="1:34" x14ac:dyDescent="0.3">
      <c r="A128" s="22"/>
      <c r="B128" s="71"/>
      <c r="C128" s="22"/>
      <c r="D128" s="22"/>
      <c r="E128" s="22"/>
      <c r="F128" s="23"/>
      <c r="G128" s="22"/>
      <c r="H128" s="22"/>
      <c r="I128" s="22"/>
      <c r="J128" s="22"/>
      <c r="K128" s="23"/>
      <c r="L128" s="22"/>
      <c r="M128" s="22"/>
      <c r="N128" s="22"/>
      <c r="O128" s="22"/>
      <c r="P128" s="22"/>
      <c r="Q128" s="22"/>
      <c r="R128" s="23"/>
      <c r="S128" s="71"/>
      <c r="T128" s="71"/>
      <c r="U128" s="24"/>
      <c r="V128" s="22"/>
      <c r="W128" s="22"/>
      <c r="X128" s="71"/>
      <c r="Y128" s="71"/>
      <c r="Z128" s="71"/>
      <c r="AA128" s="71"/>
      <c r="AB128" s="71"/>
      <c r="AC128" s="71"/>
      <c r="AD128" s="71"/>
      <c r="AE128" s="71"/>
      <c r="AF128" s="71"/>
      <c r="AG128" s="71"/>
      <c r="AH128" s="71"/>
    </row>
    <row r="129" spans="1:34" x14ac:dyDescent="0.3">
      <c r="A129" s="22"/>
      <c r="B129" s="71"/>
      <c r="C129" s="22"/>
      <c r="D129" s="22"/>
      <c r="E129" s="22"/>
      <c r="F129" s="23"/>
      <c r="G129" s="22"/>
      <c r="H129" s="22"/>
      <c r="I129" s="22"/>
      <c r="J129" s="22"/>
      <c r="K129" s="23"/>
      <c r="L129" s="22"/>
      <c r="M129" s="22"/>
      <c r="N129" s="22"/>
      <c r="O129" s="22"/>
      <c r="P129" s="22"/>
      <c r="Q129" s="22"/>
      <c r="R129" s="23"/>
      <c r="S129" s="71"/>
      <c r="T129" s="71"/>
      <c r="U129" s="24"/>
      <c r="V129" s="22"/>
      <c r="W129" s="22"/>
      <c r="X129" s="71"/>
      <c r="Y129" s="71"/>
      <c r="Z129" s="71"/>
      <c r="AA129" s="71"/>
      <c r="AB129" s="71"/>
      <c r="AC129" s="71"/>
      <c r="AD129" s="71"/>
      <c r="AE129" s="71"/>
      <c r="AF129" s="71"/>
      <c r="AG129" s="71"/>
      <c r="AH129" s="71"/>
    </row>
    <row r="130" spans="1:34" x14ac:dyDescent="0.3">
      <c r="A130" s="22"/>
      <c r="B130" s="71"/>
      <c r="C130" s="22"/>
      <c r="D130" s="22"/>
      <c r="E130" s="22"/>
      <c r="F130" s="23"/>
      <c r="G130" s="22"/>
      <c r="H130" s="22"/>
      <c r="I130" s="22"/>
      <c r="J130" s="22"/>
      <c r="K130" s="23"/>
      <c r="L130" s="22"/>
      <c r="M130" s="22"/>
      <c r="N130" s="22"/>
      <c r="O130" s="22"/>
      <c r="P130" s="22"/>
      <c r="Q130" s="22"/>
      <c r="R130" s="23"/>
      <c r="S130" s="71"/>
      <c r="T130" s="71"/>
      <c r="U130" s="24"/>
      <c r="V130" s="22"/>
      <c r="W130" s="22"/>
      <c r="X130" s="71"/>
      <c r="Y130" s="71"/>
      <c r="Z130" s="71"/>
      <c r="AA130" s="71"/>
      <c r="AB130" s="71"/>
      <c r="AC130" s="71"/>
      <c r="AD130" s="71"/>
      <c r="AE130" s="71"/>
      <c r="AF130" s="71"/>
      <c r="AG130" s="71"/>
      <c r="AH130" s="71"/>
    </row>
    <row r="131" spans="1:34" x14ac:dyDescent="0.3">
      <c r="A131" s="22"/>
      <c r="B131" s="71"/>
      <c r="C131" s="22"/>
      <c r="D131" s="22"/>
      <c r="E131" s="22"/>
      <c r="F131" s="23"/>
      <c r="G131" s="22"/>
      <c r="H131" s="22"/>
      <c r="I131" s="22"/>
      <c r="J131" s="22"/>
      <c r="K131" s="23"/>
      <c r="L131" s="22"/>
      <c r="M131" s="22"/>
      <c r="N131" s="22"/>
      <c r="O131" s="22"/>
      <c r="P131" s="22"/>
      <c r="Q131" s="22"/>
      <c r="R131" s="23"/>
      <c r="S131" s="71"/>
      <c r="T131" s="71"/>
      <c r="U131" s="24"/>
      <c r="V131" s="22"/>
      <c r="W131" s="22"/>
      <c r="X131" s="71"/>
      <c r="Y131" s="71"/>
      <c r="Z131" s="71"/>
      <c r="AA131" s="71"/>
      <c r="AB131" s="71"/>
      <c r="AC131" s="71"/>
      <c r="AD131" s="71"/>
      <c r="AE131" s="71"/>
      <c r="AF131" s="71"/>
      <c r="AG131" s="71"/>
      <c r="AH131" s="71"/>
    </row>
    <row r="132" spans="1:34" x14ac:dyDescent="0.3">
      <c r="A132" s="22"/>
      <c r="B132" s="71"/>
      <c r="C132" s="22"/>
      <c r="D132" s="22"/>
      <c r="E132" s="22"/>
      <c r="F132" s="23"/>
      <c r="G132" s="22"/>
      <c r="H132" s="22"/>
      <c r="I132" s="22"/>
      <c r="J132" s="22"/>
      <c r="K132" s="23"/>
      <c r="L132" s="22"/>
      <c r="M132" s="22"/>
      <c r="N132" s="22"/>
      <c r="O132" s="22"/>
      <c r="P132" s="22"/>
      <c r="Q132" s="22"/>
      <c r="R132" s="23"/>
      <c r="S132" s="71"/>
      <c r="T132" s="71"/>
      <c r="U132" s="24"/>
      <c r="V132" s="22"/>
      <c r="W132" s="22"/>
      <c r="X132" s="71"/>
      <c r="Y132" s="71"/>
      <c r="Z132" s="71"/>
      <c r="AA132" s="71"/>
      <c r="AB132" s="71"/>
      <c r="AC132" s="71"/>
      <c r="AD132" s="71"/>
      <c r="AE132" s="71"/>
      <c r="AF132" s="71"/>
      <c r="AG132" s="71"/>
      <c r="AH132" s="71"/>
    </row>
    <row r="133" spans="1:34" x14ac:dyDescent="0.3">
      <c r="A133" s="22"/>
      <c r="B133" s="71"/>
      <c r="C133" s="22"/>
      <c r="D133" s="22"/>
      <c r="E133" s="22"/>
      <c r="F133" s="23"/>
      <c r="G133" s="22"/>
      <c r="H133" s="22"/>
      <c r="I133" s="22"/>
      <c r="J133" s="22"/>
      <c r="K133" s="23"/>
      <c r="L133" s="22"/>
      <c r="M133" s="22"/>
      <c r="N133" s="22"/>
      <c r="O133" s="22"/>
      <c r="P133" s="22"/>
      <c r="Q133" s="22"/>
      <c r="R133" s="23"/>
      <c r="S133" s="71"/>
      <c r="T133" s="71"/>
      <c r="U133" s="24"/>
      <c r="V133" s="22"/>
      <c r="W133" s="22"/>
      <c r="X133" s="71"/>
      <c r="Y133" s="71"/>
      <c r="Z133" s="71"/>
      <c r="AA133" s="71"/>
      <c r="AB133" s="71"/>
      <c r="AC133" s="71"/>
      <c r="AD133" s="71"/>
      <c r="AE133" s="71"/>
      <c r="AF133" s="71"/>
      <c r="AG133" s="71"/>
      <c r="AH133" s="71"/>
    </row>
    <row r="134" spans="1:34" x14ac:dyDescent="0.3">
      <c r="A134" s="22"/>
      <c r="B134" s="71"/>
      <c r="C134" s="22"/>
      <c r="D134" s="22"/>
      <c r="E134" s="22"/>
      <c r="F134" s="23"/>
      <c r="G134" s="22"/>
      <c r="H134" s="22"/>
      <c r="I134" s="22"/>
      <c r="J134" s="22"/>
      <c r="K134" s="23"/>
      <c r="L134" s="22"/>
      <c r="M134" s="22"/>
      <c r="N134" s="22"/>
      <c r="O134" s="22"/>
      <c r="P134" s="22"/>
      <c r="Q134" s="22"/>
      <c r="R134" s="23"/>
      <c r="S134" s="71"/>
      <c r="T134" s="71"/>
      <c r="U134" s="24"/>
      <c r="V134" s="22"/>
      <c r="W134" s="22"/>
      <c r="X134" s="71"/>
      <c r="Y134" s="71"/>
      <c r="Z134" s="71"/>
      <c r="AA134" s="71"/>
      <c r="AB134" s="71"/>
      <c r="AC134" s="71"/>
      <c r="AD134" s="71"/>
      <c r="AE134" s="71"/>
      <c r="AF134" s="71"/>
      <c r="AG134" s="71"/>
      <c r="AH134" s="71"/>
    </row>
    <row r="135" spans="1:34" x14ac:dyDescent="0.3">
      <c r="A135" s="22"/>
      <c r="B135" s="71"/>
      <c r="C135" s="22"/>
      <c r="D135" s="22"/>
      <c r="E135" s="22"/>
      <c r="F135" s="23"/>
      <c r="G135" s="22"/>
      <c r="H135" s="22"/>
      <c r="I135" s="22"/>
      <c r="J135" s="22"/>
      <c r="K135" s="23"/>
      <c r="L135" s="22"/>
      <c r="M135" s="22"/>
      <c r="N135" s="22"/>
      <c r="O135" s="22"/>
      <c r="P135" s="22"/>
      <c r="Q135" s="22"/>
      <c r="R135" s="23"/>
      <c r="S135" s="71"/>
      <c r="T135" s="71"/>
      <c r="U135" s="24"/>
      <c r="V135" s="22"/>
      <c r="W135" s="22"/>
      <c r="X135" s="71"/>
      <c r="Y135" s="71"/>
      <c r="Z135" s="71"/>
      <c r="AA135" s="71"/>
      <c r="AB135" s="71"/>
      <c r="AC135" s="71"/>
      <c r="AD135" s="71"/>
      <c r="AE135" s="71"/>
      <c r="AF135" s="71"/>
      <c r="AG135" s="71"/>
      <c r="AH135" s="71"/>
    </row>
    <row r="136" spans="1:34" x14ac:dyDescent="0.3">
      <c r="A136" s="22"/>
      <c r="B136" s="71"/>
      <c r="C136" s="22"/>
      <c r="D136" s="22"/>
      <c r="E136" s="22"/>
      <c r="F136" s="23"/>
      <c r="G136" s="22"/>
      <c r="H136" s="22"/>
      <c r="I136" s="22"/>
      <c r="J136" s="22"/>
      <c r="K136" s="23"/>
      <c r="L136" s="22"/>
      <c r="M136" s="22"/>
      <c r="N136" s="22"/>
      <c r="O136" s="22"/>
      <c r="P136" s="22"/>
      <c r="Q136" s="22"/>
      <c r="R136" s="23"/>
      <c r="S136" s="71"/>
      <c r="T136" s="71"/>
      <c r="U136" s="24"/>
      <c r="V136" s="22"/>
      <c r="W136" s="22"/>
      <c r="X136" s="71"/>
      <c r="Y136" s="71"/>
      <c r="Z136" s="71"/>
      <c r="AA136" s="71"/>
      <c r="AB136" s="71"/>
      <c r="AC136" s="71"/>
      <c r="AD136" s="71"/>
      <c r="AE136" s="71"/>
      <c r="AF136" s="71"/>
      <c r="AG136" s="71"/>
      <c r="AH136" s="71"/>
    </row>
    <row r="137" spans="1:34" x14ac:dyDescent="0.3">
      <c r="A137" s="22"/>
      <c r="B137" s="71"/>
      <c r="C137" s="22"/>
      <c r="D137" s="22"/>
      <c r="E137" s="22"/>
      <c r="F137" s="23"/>
      <c r="G137" s="22"/>
      <c r="H137" s="22"/>
      <c r="I137" s="22"/>
      <c r="J137" s="22"/>
      <c r="K137" s="23"/>
      <c r="L137" s="22"/>
      <c r="M137" s="22"/>
      <c r="N137" s="22"/>
      <c r="O137" s="22"/>
      <c r="P137" s="22"/>
      <c r="Q137" s="22"/>
      <c r="R137" s="23"/>
      <c r="S137" s="71"/>
      <c r="T137" s="71"/>
      <c r="U137" s="24"/>
      <c r="V137" s="22"/>
      <c r="W137" s="22"/>
      <c r="X137" s="71"/>
      <c r="Y137" s="71"/>
      <c r="Z137" s="71"/>
      <c r="AA137" s="71"/>
      <c r="AB137" s="71"/>
      <c r="AC137" s="71"/>
      <c r="AD137" s="71"/>
      <c r="AE137" s="71"/>
      <c r="AF137" s="71"/>
      <c r="AG137" s="71"/>
      <c r="AH137" s="71"/>
    </row>
    <row r="138" spans="1:34" x14ac:dyDescent="0.3">
      <c r="A138" s="22"/>
      <c r="B138" s="71"/>
      <c r="C138" s="22"/>
      <c r="D138" s="22"/>
      <c r="E138" s="22"/>
      <c r="F138" s="23"/>
      <c r="G138" s="22"/>
      <c r="H138" s="22"/>
      <c r="I138" s="22"/>
      <c r="J138" s="22"/>
      <c r="K138" s="23"/>
      <c r="L138" s="22"/>
      <c r="M138" s="22"/>
      <c r="N138" s="22"/>
      <c r="O138" s="22"/>
      <c r="P138" s="22"/>
      <c r="Q138" s="22"/>
      <c r="R138" s="23"/>
      <c r="S138" s="71"/>
      <c r="T138" s="71"/>
      <c r="U138" s="24"/>
      <c r="V138" s="22"/>
      <c r="W138" s="22"/>
      <c r="X138" s="71"/>
      <c r="Y138" s="71"/>
      <c r="Z138" s="71"/>
      <c r="AA138" s="71"/>
      <c r="AB138" s="71"/>
      <c r="AC138" s="71"/>
      <c r="AD138" s="71"/>
      <c r="AE138" s="71"/>
      <c r="AF138" s="71"/>
      <c r="AG138" s="71"/>
      <c r="AH138" s="71"/>
    </row>
    <row r="139" spans="1:34" x14ac:dyDescent="0.3">
      <c r="A139" s="22"/>
      <c r="B139" s="71"/>
      <c r="C139" s="22"/>
      <c r="D139" s="22"/>
      <c r="E139" s="22"/>
      <c r="F139" s="23"/>
      <c r="G139" s="22"/>
      <c r="H139" s="22"/>
      <c r="I139" s="22"/>
      <c r="J139" s="22"/>
      <c r="K139" s="23"/>
      <c r="L139" s="22"/>
      <c r="M139" s="22"/>
      <c r="N139" s="22"/>
      <c r="O139" s="22"/>
      <c r="P139" s="22"/>
      <c r="Q139" s="22"/>
      <c r="R139" s="23"/>
      <c r="S139" s="71"/>
      <c r="T139" s="71"/>
      <c r="U139" s="24"/>
      <c r="V139" s="22"/>
      <c r="W139" s="22"/>
      <c r="X139" s="71"/>
      <c r="Y139" s="71"/>
      <c r="Z139" s="71"/>
      <c r="AA139" s="71"/>
      <c r="AB139" s="71"/>
      <c r="AC139" s="71"/>
      <c r="AD139" s="71"/>
      <c r="AE139" s="71"/>
      <c r="AF139" s="71"/>
      <c r="AG139" s="71"/>
      <c r="AH139" s="71"/>
    </row>
    <row r="140" spans="1:34" x14ac:dyDescent="0.3">
      <c r="A140" s="22"/>
      <c r="B140" s="71"/>
      <c r="C140" s="22"/>
      <c r="D140" s="22"/>
      <c r="E140" s="22"/>
      <c r="F140" s="23"/>
      <c r="G140" s="22"/>
      <c r="H140" s="22"/>
      <c r="I140" s="22"/>
      <c r="J140" s="22"/>
      <c r="K140" s="23"/>
      <c r="L140" s="22"/>
      <c r="M140" s="22"/>
      <c r="N140" s="22"/>
      <c r="O140" s="22"/>
      <c r="P140" s="22"/>
      <c r="Q140" s="22"/>
      <c r="R140" s="23"/>
      <c r="S140" s="71"/>
      <c r="T140" s="71"/>
      <c r="U140" s="24"/>
      <c r="V140" s="22"/>
      <c r="W140" s="22"/>
      <c r="X140" s="71"/>
      <c r="Y140" s="71"/>
      <c r="Z140" s="71"/>
      <c r="AA140" s="71"/>
      <c r="AB140" s="71"/>
      <c r="AC140" s="71"/>
      <c r="AD140" s="71"/>
      <c r="AE140" s="71"/>
      <c r="AF140" s="71"/>
      <c r="AG140" s="71"/>
      <c r="AH140" s="71"/>
    </row>
    <row r="141" spans="1:34" x14ac:dyDescent="0.3">
      <c r="A141" s="22"/>
      <c r="B141" s="71"/>
      <c r="C141" s="22"/>
      <c r="D141" s="22"/>
      <c r="E141" s="22"/>
      <c r="F141" s="23"/>
      <c r="G141" s="22"/>
      <c r="H141" s="22"/>
      <c r="I141" s="22"/>
      <c r="J141" s="22"/>
      <c r="K141" s="23"/>
      <c r="L141" s="22"/>
      <c r="M141" s="22"/>
      <c r="N141" s="22"/>
      <c r="O141" s="22"/>
      <c r="P141" s="22"/>
      <c r="Q141" s="22"/>
      <c r="R141" s="23"/>
      <c r="S141" s="71"/>
      <c r="T141" s="71"/>
      <c r="U141" s="24"/>
      <c r="V141" s="22"/>
      <c r="W141" s="22"/>
      <c r="X141" s="71"/>
      <c r="Y141" s="71"/>
      <c r="Z141" s="71"/>
      <c r="AA141" s="71"/>
      <c r="AB141" s="71"/>
      <c r="AC141" s="71"/>
      <c r="AD141" s="71"/>
      <c r="AE141" s="71"/>
      <c r="AF141" s="71"/>
      <c r="AG141" s="71"/>
      <c r="AH141" s="71"/>
    </row>
    <row r="142" spans="1:34" x14ac:dyDescent="0.3">
      <c r="A142" s="22"/>
      <c r="B142" s="71"/>
      <c r="C142" s="22"/>
      <c r="D142" s="22"/>
      <c r="E142" s="22"/>
      <c r="F142" s="23"/>
      <c r="G142" s="22"/>
      <c r="H142" s="22"/>
      <c r="I142" s="22"/>
      <c r="J142" s="22"/>
      <c r="K142" s="23"/>
      <c r="L142" s="22"/>
      <c r="M142" s="22"/>
      <c r="N142" s="22"/>
      <c r="O142" s="22"/>
      <c r="P142" s="22"/>
      <c r="Q142" s="22"/>
      <c r="R142" s="23"/>
      <c r="S142" s="71"/>
      <c r="T142" s="71"/>
      <c r="U142" s="24"/>
      <c r="V142" s="22"/>
      <c r="W142" s="22"/>
      <c r="X142" s="71"/>
      <c r="Y142" s="71"/>
      <c r="Z142" s="71"/>
      <c r="AA142" s="71"/>
      <c r="AB142" s="71"/>
      <c r="AC142" s="71"/>
      <c r="AD142" s="71"/>
      <c r="AE142" s="71"/>
      <c r="AF142" s="71"/>
      <c r="AG142" s="71"/>
      <c r="AH142" s="71"/>
    </row>
    <row r="143" spans="1:34" x14ac:dyDescent="0.3">
      <c r="A143" s="22"/>
      <c r="B143" s="71"/>
      <c r="C143" s="22"/>
      <c r="D143" s="22"/>
      <c r="E143" s="22"/>
      <c r="F143" s="23"/>
      <c r="G143" s="22"/>
      <c r="H143" s="22"/>
      <c r="I143" s="22"/>
      <c r="J143" s="22"/>
      <c r="K143" s="23"/>
      <c r="L143" s="22"/>
      <c r="M143" s="22"/>
      <c r="N143" s="22"/>
      <c r="O143" s="22"/>
      <c r="P143" s="22"/>
      <c r="Q143" s="22"/>
      <c r="R143" s="23"/>
      <c r="S143" s="71"/>
      <c r="T143" s="71"/>
      <c r="U143" s="24"/>
      <c r="V143" s="22"/>
      <c r="W143" s="22"/>
      <c r="X143" s="71"/>
      <c r="Y143" s="71"/>
      <c r="Z143" s="71"/>
      <c r="AA143" s="71"/>
      <c r="AB143" s="71"/>
      <c r="AC143" s="71"/>
      <c r="AD143" s="71"/>
      <c r="AE143" s="71"/>
      <c r="AF143" s="71"/>
      <c r="AG143" s="71"/>
      <c r="AH143" s="71"/>
    </row>
    <row r="144" spans="1:34" x14ac:dyDescent="0.3">
      <c r="A144" s="22"/>
      <c r="B144" s="71"/>
      <c r="C144" s="22"/>
      <c r="D144" s="22"/>
      <c r="E144" s="22"/>
      <c r="F144" s="23"/>
      <c r="G144" s="22"/>
      <c r="H144" s="22"/>
      <c r="I144" s="22"/>
      <c r="J144" s="22"/>
      <c r="K144" s="23"/>
      <c r="L144" s="22"/>
      <c r="M144" s="22"/>
      <c r="N144" s="22"/>
      <c r="O144" s="22"/>
      <c r="P144" s="22"/>
      <c r="Q144" s="22"/>
      <c r="R144" s="23"/>
      <c r="S144" s="71"/>
      <c r="T144" s="71"/>
      <c r="U144" s="24"/>
      <c r="V144" s="22"/>
      <c r="W144" s="22"/>
      <c r="X144" s="71"/>
      <c r="Y144" s="71"/>
      <c r="Z144" s="71"/>
      <c r="AA144" s="71"/>
      <c r="AB144" s="71"/>
      <c r="AC144" s="71"/>
      <c r="AD144" s="71"/>
      <c r="AE144" s="71"/>
      <c r="AF144" s="71"/>
      <c r="AG144" s="71"/>
      <c r="AH144" s="71"/>
    </row>
    <row r="145" spans="1:34" x14ac:dyDescent="0.3">
      <c r="A145" s="22"/>
      <c r="B145" s="71"/>
      <c r="C145" s="22"/>
      <c r="D145" s="22"/>
      <c r="E145" s="22"/>
      <c r="F145" s="23"/>
      <c r="G145" s="22"/>
      <c r="H145" s="22"/>
      <c r="I145" s="22"/>
      <c r="J145" s="22"/>
      <c r="K145" s="23"/>
      <c r="L145" s="22"/>
      <c r="M145" s="22"/>
      <c r="N145" s="22"/>
      <c r="O145" s="22"/>
      <c r="P145" s="22"/>
      <c r="Q145" s="22"/>
      <c r="R145" s="23"/>
      <c r="S145" s="71"/>
      <c r="T145" s="71"/>
      <c r="U145" s="24"/>
      <c r="V145" s="22"/>
      <c r="W145" s="22"/>
      <c r="X145" s="71"/>
      <c r="Y145" s="71"/>
      <c r="Z145" s="71"/>
      <c r="AA145" s="71"/>
      <c r="AB145" s="71"/>
      <c r="AC145" s="71"/>
      <c r="AD145" s="71"/>
      <c r="AE145" s="71"/>
      <c r="AF145" s="71"/>
      <c r="AG145" s="71"/>
      <c r="AH145" s="71"/>
    </row>
    <row r="146" spans="1:34" x14ac:dyDescent="0.3">
      <c r="A146" s="22"/>
      <c r="B146" s="71"/>
      <c r="C146" s="22"/>
      <c r="D146" s="22"/>
      <c r="E146" s="22"/>
      <c r="F146" s="23"/>
      <c r="G146" s="22"/>
      <c r="H146" s="22"/>
      <c r="I146" s="22"/>
      <c r="J146" s="22"/>
      <c r="K146" s="23"/>
      <c r="L146" s="22"/>
      <c r="M146" s="22"/>
      <c r="N146" s="22"/>
      <c r="O146" s="22"/>
      <c r="P146" s="22"/>
      <c r="Q146" s="22"/>
      <c r="R146" s="23"/>
      <c r="S146" s="71"/>
      <c r="T146" s="71"/>
      <c r="U146" s="24"/>
      <c r="V146" s="22"/>
      <c r="W146" s="22"/>
      <c r="X146" s="71"/>
      <c r="Y146" s="71"/>
      <c r="Z146" s="71"/>
      <c r="AA146" s="71"/>
      <c r="AB146" s="71"/>
      <c r="AC146" s="71"/>
      <c r="AD146" s="71"/>
      <c r="AE146" s="71"/>
      <c r="AF146" s="71"/>
      <c r="AG146" s="71"/>
      <c r="AH146" s="71"/>
    </row>
  </sheetData>
  <sheetProtection algorithmName="SHA-512" hashValue="NK9aoLZR9tgYM4jZ58n5u23SzAp7mF4ztoXdx+NBbm4a+pQLeoTnneoirdKPb2xkP0g1CZtMvoM0CYh0lN/Faw==" saltValue="AnvThw97FbqCBLbMyYcjkA==" spinCount="100000" sheet="1" objects="1" scenarios="1" selectLockedCells="1"/>
  <mergeCells count="65">
    <mergeCell ref="H43:L43"/>
    <mergeCell ref="E43:G44"/>
    <mergeCell ref="E47:G47"/>
    <mergeCell ref="E49:G49"/>
    <mergeCell ref="E46:G46"/>
    <mergeCell ref="E45:G45"/>
    <mergeCell ref="E48:G48"/>
    <mergeCell ref="H44:I44"/>
    <mergeCell ref="J44:L44"/>
    <mergeCell ref="H45:I45"/>
    <mergeCell ref="J45:L45"/>
    <mergeCell ref="H46:I46"/>
    <mergeCell ref="H47:I47"/>
    <mergeCell ref="H48:I48"/>
    <mergeCell ref="J46:L46"/>
    <mergeCell ref="J47:L47"/>
    <mergeCell ref="J48:L48"/>
    <mergeCell ref="J50:L50"/>
    <mergeCell ref="C54:E54"/>
    <mergeCell ref="O49:Q49"/>
    <mergeCell ref="O50:Q50"/>
    <mergeCell ref="C52:R52"/>
    <mergeCell ref="E51:Q51"/>
    <mergeCell ref="M49:N49"/>
    <mergeCell ref="E50:G50"/>
    <mergeCell ref="H50:I50"/>
    <mergeCell ref="J49:L49"/>
    <mergeCell ref="H49:I49"/>
    <mergeCell ref="I54:R54"/>
    <mergeCell ref="M50:N50"/>
    <mergeCell ref="O48:Q48"/>
    <mergeCell ref="M48:N48"/>
    <mergeCell ref="Q2:R2"/>
    <mergeCell ref="Q4:R4"/>
    <mergeCell ref="Q6:R6"/>
    <mergeCell ref="E42:R42"/>
    <mergeCell ref="K28:R28"/>
    <mergeCell ref="K26:R26"/>
    <mergeCell ref="H26:J26"/>
    <mergeCell ref="H28:J28"/>
    <mergeCell ref="E38:R38"/>
    <mergeCell ref="O43:Q44"/>
    <mergeCell ref="O45:Q45"/>
    <mergeCell ref="M45:N45"/>
    <mergeCell ref="M46:N46"/>
    <mergeCell ref="M47:N47"/>
    <mergeCell ref="M43:N44"/>
    <mergeCell ref="O46:Q46"/>
    <mergeCell ref="O47:Q47"/>
    <mergeCell ref="A4:A6"/>
    <mergeCell ref="U4:U7"/>
    <mergeCell ref="E41:R41"/>
    <mergeCell ref="C25:R25"/>
    <mergeCell ref="C34:R34"/>
    <mergeCell ref="E36:R36"/>
    <mergeCell ref="E39:R39"/>
    <mergeCell ref="H15:R15"/>
    <mergeCell ref="H17:R17"/>
    <mergeCell ref="H19:R19"/>
    <mergeCell ref="H21:R21"/>
    <mergeCell ref="H23:R23"/>
    <mergeCell ref="E37:R37"/>
    <mergeCell ref="C13:M13"/>
    <mergeCell ref="K32:R32"/>
    <mergeCell ref="K30:R30"/>
  </mergeCells>
  <conditionalFormatting sqref="C3:R3 C2:Q2 C5:R5 C4:Q4 C6:Q6">
    <cfRule type="iconSet" priority="124">
      <iconSet iconSet="3Symbols" showValue="0">
        <cfvo type="percent" val="0"/>
        <cfvo type="num" val="1"/>
        <cfvo type="num" val="2"/>
      </iconSet>
    </cfRule>
  </conditionalFormatting>
  <conditionalFormatting sqref="H15:R15 H17:R17 H19:R19 H21:R21 H23:R23">
    <cfRule type="expression" dxfId="116" priority="14">
      <formula>ISBLANK(H15)</formula>
    </cfRule>
  </conditionalFormatting>
  <conditionalFormatting sqref="K32:R32">
    <cfRule type="expression" dxfId="115" priority="1">
      <formula>$U$32&lt;&gt;""</formula>
    </cfRule>
    <cfRule type="expression" dxfId="114" priority="2">
      <formula>$K$32&lt;&gt;""</formula>
    </cfRule>
  </conditionalFormatting>
  <dataValidations count="2">
    <dataValidation type="whole" allowBlank="1" showInputMessage="1" showErrorMessage="1" sqref="A10" xr:uid="{00000000-0002-0000-0000-000000000000}">
      <formula1>0</formula1>
      <formula2>0</formula2>
    </dataValidation>
    <dataValidation type="whole" operator="greaterThanOrEqual" allowBlank="1" showInputMessage="1" showErrorMessage="1" sqref="K32:R32" xr:uid="{00000000-0002-0000-0000-000001000000}">
      <formula1>0</formula1>
    </dataValidation>
  </dataValidations>
  <pageMargins left="0.9055118110236221"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4" r:id="rId4" name="Drop Down 2">
              <controlPr defaultSize="0" print="0" autoLine="0" autoPict="0">
                <anchor moveWithCells="1">
                  <from>
                    <xdr:col>10</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33795" r:id="rId5" name="Drop Down 3">
              <controlPr defaultSize="0" print="0" autoLine="0" autoPict="0">
                <anchor moveWithCells="1">
                  <from>
                    <xdr:col>10</xdr:col>
                    <xdr:colOff>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33797" r:id="rId6" name="Option Button 5">
              <controlPr defaultSize="0" autoFill="0" autoLine="0" autoPict="0">
                <anchor moveWithCells="1">
                  <from>
                    <xdr:col>1</xdr:col>
                    <xdr:colOff>38100</xdr:colOff>
                    <xdr:row>34</xdr:row>
                    <xdr:rowOff>123825</xdr:rowOff>
                  </from>
                  <to>
                    <xdr:col>3</xdr:col>
                    <xdr:colOff>9525</xdr:colOff>
                    <xdr:row>36</xdr:row>
                    <xdr:rowOff>9525</xdr:rowOff>
                  </to>
                </anchor>
              </controlPr>
            </control>
          </mc:Choice>
        </mc:AlternateContent>
        <mc:AlternateContent xmlns:mc="http://schemas.openxmlformats.org/markup-compatibility/2006">
          <mc:Choice Requires="x14">
            <control shapeId="33798" r:id="rId7" name="Option Button 6">
              <controlPr defaultSize="0" autoFill="0" autoLine="0" autoPict="0">
                <anchor moveWithCells="1">
                  <from>
                    <xdr:col>1</xdr:col>
                    <xdr:colOff>38100</xdr:colOff>
                    <xdr:row>35</xdr:row>
                    <xdr:rowOff>190500</xdr:rowOff>
                  </from>
                  <to>
                    <xdr:col>3</xdr:col>
                    <xdr:colOff>9525</xdr:colOff>
                    <xdr:row>37</xdr:row>
                    <xdr:rowOff>9525</xdr:rowOff>
                  </to>
                </anchor>
              </controlPr>
            </control>
          </mc:Choice>
        </mc:AlternateContent>
        <mc:AlternateContent xmlns:mc="http://schemas.openxmlformats.org/markup-compatibility/2006">
          <mc:Choice Requires="x14">
            <control shapeId="33799" r:id="rId8" name="Option Button 7">
              <controlPr defaultSize="0" autoFill="0" autoLine="0" autoPict="0">
                <anchor moveWithCells="1">
                  <from>
                    <xdr:col>1</xdr:col>
                    <xdr:colOff>38100</xdr:colOff>
                    <xdr:row>36</xdr:row>
                    <xdr:rowOff>190500</xdr:rowOff>
                  </from>
                  <to>
                    <xdr:col>3</xdr:col>
                    <xdr:colOff>9525</xdr:colOff>
                    <xdr:row>38</xdr:row>
                    <xdr:rowOff>9525</xdr:rowOff>
                  </to>
                </anchor>
              </controlPr>
            </control>
          </mc:Choice>
        </mc:AlternateContent>
        <mc:AlternateContent xmlns:mc="http://schemas.openxmlformats.org/markup-compatibility/2006">
          <mc:Choice Requires="x14">
            <control shapeId="33834" r:id="rId9" name="Check Box 42">
              <controlPr defaultSize="0" autoFill="0" autoLine="0" autoPict="0">
                <anchor moveWithCells="1">
                  <from>
                    <xdr:col>7</xdr:col>
                    <xdr:colOff>390525</xdr:colOff>
                    <xdr:row>45</xdr:row>
                    <xdr:rowOff>19050</xdr:rowOff>
                  </from>
                  <to>
                    <xdr:col>7</xdr:col>
                    <xdr:colOff>638175</xdr:colOff>
                    <xdr:row>45</xdr:row>
                    <xdr:rowOff>190500</xdr:rowOff>
                  </to>
                </anchor>
              </controlPr>
            </control>
          </mc:Choice>
        </mc:AlternateContent>
        <mc:AlternateContent xmlns:mc="http://schemas.openxmlformats.org/markup-compatibility/2006">
          <mc:Choice Requires="x14">
            <control shapeId="33852" r:id="rId10" name="Check Box 60">
              <controlPr defaultSize="0" autoFill="0" autoLine="0" autoPict="0">
                <anchor moveWithCells="1">
                  <from>
                    <xdr:col>9</xdr:col>
                    <xdr:colOff>381000</xdr:colOff>
                    <xdr:row>45</xdr:row>
                    <xdr:rowOff>19050</xdr:rowOff>
                  </from>
                  <to>
                    <xdr:col>9</xdr:col>
                    <xdr:colOff>609600</xdr:colOff>
                    <xdr:row>45</xdr:row>
                    <xdr:rowOff>190500</xdr:rowOff>
                  </to>
                </anchor>
              </controlPr>
            </control>
          </mc:Choice>
        </mc:AlternateContent>
        <mc:AlternateContent xmlns:mc="http://schemas.openxmlformats.org/markup-compatibility/2006">
          <mc:Choice Requires="x14">
            <control shapeId="33853" r:id="rId11" name="Check Box 61">
              <controlPr defaultSize="0" autoFill="0" autoLine="0" autoPict="0">
                <anchor moveWithCells="1">
                  <from>
                    <xdr:col>7</xdr:col>
                    <xdr:colOff>390525</xdr:colOff>
                    <xdr:row>46</xdr:row>
                    <xdr:rowOff>19050</xdr:rowOff>
                  </from>
                  <to>
                    <xdr:col>7</xdr:col>
                    <xdr:colOff>638175</xdr:colOff>
                    <xdr:row>46</xdr:row>
                    <xdr:rowOff>190500</xdr:rowOff>
                  </to>
                </anchor>
              </controlPr>
            </control>
          </mc:Choice>
        </mc:AlternateContent>
        <mc:AlternateContent xmlns:mc="http://schemas.openxmlformats.org/markup-compatibility/2006">
          <mc:Choice Requires="x14">
            <control shapeId="33854" r:id="rId12" name="Check Box 62">
              <controlPr defaultSize="0" autoFill="0" autoLine="0" autoPict="0">
                <anchor moveWithCells="1">
                  <from>
                    <xdr:col>9</xdr:col>
                    <xdr:colOff>381000</xdr:colOff>
                    <xdr:row>46</xdr:row>
                    <xdr:rowOff>19050</xdr:rowOff>
                  </from>
                  <to>
                    <xdr:col>9</xdr:col>
                    <xdr:colOff>609600</xdr:colOff>
                    <xdr:row>46</xdr:row>
                    <xdr:rowOff>190500</xdr:rowOff>
                  </to>
                </anchor>
              </controlPr>
            </control>
          </mc:Choice>
        </mc:AlternateContent>
        <mc:AlternateContent xmlns:mc="http://schemas.openxmlformats.org/markup-compatibility/2006">
          <mc:Choice Requires="x14">
            <control shapeId="33855" r:id="rId13" name="Check Box 63">
              <controlPr defaultSize="0" autoFill="0" autoLine="0" autoPict="0">
                <anchor moveWithCells="1">
                  <from>
                    <xdr:col>7</xdr:col>
                    <xdr:colOff>390525</xdr:colOff>
                    <xdr:row>47</xdr:row>
                    <xdr:rowOff>19050</xdr:rowOff>
                  </from>
                  <to>
                    <xdr:col>7</xdr:col>
                    <xdr:colOff>638175</xdr:colOff>
                    <xdr:row>47</xdr:row>
                    <xdr:rowOff>190500</xdr:rowOff>
                  </to>
                </anchor>
              </controlPr>
            </control>
          </mc:Choice>
        </mc:AlternateContent>
        <mc:AlternateContent xmlns:mc="http://schemas.openxmlformats.org/markup-compatibility/2006">
          <mc:Choice Requires="x14">
            <control shapeId="33856" r:id="rId14" name="Check Box 64">
              <controlPr defaultSize="0" autoFill="0" autoLine="0" autoPict="0">
                <anchor moveWithCells="1">
                  <from>
                    <xdr:col>9</xdr:col>
                    <xdr:colOff>381000</xdr:colOff>
                    <xdr:row>47</xdr:row>
                    <xdr:rowOff>19050</xdr:rowOff>
                  </from>
                  <to>
                    <xdr:col>9</xdr:col>
                    <xdr:colOff>609600</xdr:colOff>
                    <xdr:row>47</xdr:row>
                    <xdr:rowOff>190500</xdr:rowOff>
                  </to>
                </anchor>
              </controlPr>
            </control>
          </mc:Choice>
        </mc:AlternateContent>
        <mc:AlternateContent xmlns:mc="http://schemas.openxmlformats.org/markup-compatibility/2006">
          <mc:Choice Requires="x14">
            <control shapeId="33857" r:id="rId15" name="Check Box 65">
              <controlPr defaultSize="0" autoFill="0" autoLine="0" autoPict="0">
                <anchor moveWithCells="1">
                  <from>
                    <xdr:col>7</xdr:col>
                    <xdr:colOff>390525</xdr:colOff>
                    <xdr:row>48</xdr:row>
                    <xdr:rowOff>19050</xdr:rowOff>
                  </from>
                  <to>
                    <xdr:col>7</xdr:col>
                    <xdr:colOff>638175</xdr:colOff>
                    <xdr:row>48</xdr:row>
                    <xdr:rowOff>190500</xdr:rowOff>
                  </to>
                </anchor>
              </controlPr>
            </control>
          </mc:Choice>
        </mc:AlternateContent>
        <mc:AlternateContent xmlns:mc="http://schemas.openxmlformats.org/markup-compatibility/2006">
          <mc:Choice Requires="x14">
            <control shapeId="33858" r:id="rId16" name="Check Box 66">
              <controlPr defaultSize="0" autoFill="0" autoLine="0" autoPict="0">
                <anchor moveWithCells="1">
                  <from>
                    <xdr:col>9</xdr:col>
                    <xdr:colOff>381000</xdr:colOff>
                    <xdr:row>48</xdr:row>
                    <xdr:rowOff>19050</xdr:rowOff>
                  </from>
                  <to>
                    <xdr:col>9</xdr:col>
                    <xdr:colOff>609600</xdr:colOff>
                    <xdr:row>48</xdr:row>
                    <xdr:rowOff>190500</xdr:rowOff>
                  </to>
                </anchor>
              </controlPr>
            </control>
          </mc:Choice>
        </mc:AlternateContent>
        <mc:AlternateContent xmlns:mc="http://schemas.openxmlformats.org/markup-compatibility/2006">
          <mc:Choice Requires="x14">
            <control shapeId="33859" r:id="rId17" name="Check Box 67">
              <controlPr defaultSize="0" autoFill="0" autoLine="0" autoPict="0">
                <anchor moveWithCells="1">
                  <from>
                    <xdr:col>7</xdr:col>
                    <xdr:colOff>390525</xdr:colOff>
                    <xdr:row>49</xdr:row>
                    <xdr:rowOff>19050</xdr:rowOff>
                  </from>
                  <to>
                    <xdr:col>7</xdr:col>
                    <xdr:colOff>638175</xdr:colOff>
                    <xdr:row>49</xdr:row>
                    <xdr:rowOff>190500</xdr:rowOff>
                  </to>
                </anchor>
              </controlPr>
            </control>
          </mc:Choice>
        </mc:AlternateContent>
        <mc:AlternateContent xmlns:mc="http://schemas.openxmlformats.org/markup-compatibility/2006">
          <mc:Choice Requires="x14">
            <control shapeId="33860" r:id="rId18" name="Check Box 68">
              <controlPr defaultSize="0" autoFill="0" autoLine="0" autoPict="0">
                <anchor moveWithCells="1">
                  <from>
                    <xdr:col>9</xdr:col>
                    <xdr:colOff>381000</xdr:colOff>
                    <xdr:row>49</xdr:row>
                    <xdr:rowOff>19050</xdr:rowOff>
                  </from>
                  <to>
                    <xdr:col>9</xdr:col>
                    <xdr:colOff>609600</xdr:colOff>
                    <xdr:row>49</xdr:row>
                    <xdr:rowOff>190500</xdr:rowOff>
                  </to>
                </anchor>
              </controlPr>
            </control>
          </mc:Choice>
        </mc:AlternateContent>
        <mc:AlternateContent xmlns:mc="http://schemas.openxmlformats.org/markup-compatibility/2006">
          <mc:Choice Requires="x14">
            <control shapeId="33861" r:id="rId19" name="Option Button 69">
              <controlPr defaultSize="0" autoFill="0" autoLine="0" autoPict="0">
                <anchor moveWithCells="1">
                  <from>
                    <xdr:col>1</xdr:col>
                    <xdr:colOff>38100</xdr:colOff>
                    <xdr:row>37</xdr:row>
                    <xdr:rowOff>190500</xdr:rowOff>
                  </from>
                  <to>
                    <xdr:col>3</xdr:col>
                    <xdr:colOff>9525</xdr:colOff>
                    <xdr:row>39</xdr:row>
                    <xdr:rowOff>9525</xdr:rowOff>
                  </to>
                </anchor>
              </controlPr>
            </control>
          </mc:Choice>
        </mc:AlternateContent>
        <mc:AlternateContent xmlns:mc="http://schemas.openxmlformats.org/markup-compatibility/2006">
          <mc:Choice Requires="x14">
            <control shapeId="33863" r:id="rId20" name="Group Box 71">
              <controlPr defaultSize="0" print="0" autoFill="0" autoPict="0">
                <anchor moveWithCells="1">
                  <from>
                    <xdr:col>14</xdr:col>
                    <xdr:colOff>0</xdr:colOff>
                    <xdr:row>42</xdr:row>
                    <xdr:rowOff>0</xdr:rowOff>
                  </from>
                  <to>
                    <xdr:col>17</xdr:col>
                    <xdr:colOff>0</xdr:colOff>
                    <xdr:row>50</xdr:row>
                    <xdr:rowOff>0</xdr:rowOff>
                  </to>
                </anchor>
              </controlPr>
            </control>
          </mc:Choice>
        </mc:AlternateContent>
        <mc:AlternateContent xmlns:mc="http://schemas.openxmlformats.org/markup-compatibility/2006">
          <mc:Choice Requires="x14">
            <control shapeId="33864" r:id="rId21" name="Drop Down 72">
              <controlPr defaultSize="0" print="0" autoLine="0" autoPict="0">
                <anchor moveWithCells="1">
                  <from>
                    <xdr:col>10</xdr:col>
                    <xdr:colOff>0</xdr:colOff>
                    <xdr:row>29</xdr:row>
                    <xdr:rowOff>0</xdr:rowOff>
                  </from>
                  <to>
                    <xdr:col>18</xdr:col>
                    <xdr:colOff>0</xdr:colOff>
                    <xdr:row>30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tabColor theme="7"/>
  </sheetPr>
  <dimension ref="A1:P35"/>
  <sheetViews>
    <sheetView workbookViewId="0">
      <selection activeCell="E8" sqref="E8"/>
    </sheetView>
  </sheetViews>
  <sheetFormatPr baseColWidth="10" defaultColWidth="11.42578125" defaultRowHeight="15" x14ac:dyDescent="0.25"/>
  <cols>
    <col min="1" max="1" width="39.5703125" style="5" bestFit="1" customWidth="1"/>
    <col min="2" max="2" width="11.42578125" style="5"/>
    <col min="3" max="3" width="1.42578125" style="5" customWidth="1"/>
    <col min="4" max="4" width="25" style="5" bestFit="1" customWidth="1"/>
    <col min="5" max="5" width="26.140625" style="5" bestFit="1" customWidth="1"/>
    <col min="6" max="6" width="1.42578125" style="5" customWidth="1"/>
    <col min="7" max="7" width="7" style="19" customWidth="1"/>
    <col min="8" max="8" width="19.42578125" style="5" bestFit="1" customWidth="1"/>
    <col min="9" max="11" width="11.42578125" style="5"/>
    <col min="12" max="12" width="12.42578125" style="5" bestFit="1" customWidth="1"/>
    <col min="13" max="13" width="12.42578125" style="5" customWidth="1"/>
    <col min="14" max="14" width="1.42578125" style="5" customWidth="1"/>
    <col min="15" max="15" width="11.42578125" style="5"/>
    <col min="16" max="16" width="20.85546875" style="5" bestFit="1" customWidth="1"/>
    <col min="17" max="16384" width="11.42578125" style="5"/>
  </cols>
  <sheetData>
    <row r="1" spans="1:16" ht="17.25" thickBot="1" x14ac:dyDescent="0.3">
      <c r="A1" s="93" t="s">
        <v>52</v>
      </c>
      <c r="B1" s="95">
        <v>1</v>
      </c>
      <c r="D1" s="1" t="s">
        <v>19</v>
      </c>
      <c r="E1" s="240" t="s">
        <v>18</v>
      </c>
      <c r="G1" s="42" t="s">
        <v>48</v>
      </c>
      <c r="H1" s="43" t="s">
        <v>79</v>
      </c>
      <c r="I1" s="42" t="s">
        <v>55</v>
      </c>
      <c r="J1" s="42" t="s">
        <v>83</v>
      </c>
      <c r="K1" s="42" t="s">
        <v>82</v>
      </c>
      <c r="L1" s="42" t="s">
        <v>203</v>
      </c>
      <c r="M1" s="42" t="s">
        <v>223</v>
      </c>
      <c r="O1" s="42" t="s">
        <v>89</v>
      </c>
      <c r="P1" s="43" t="s">
        <v>79</v>
      </c>
    </row>
    <row r="2" spans="1:16" ht="16.5" x14ac:dyDescent="0.25">
      <c r="A2" s="1" t="s">
        <v>54</v>
      </c>
      <c r="B2" s="94" t="b">
        <v>0</v>
      </c>
      <c r="D2" s="1" t="s">
        <v>75</v>
      </c>
      <c r="E2" s="240" t="s">
        <v>308</v>
      </c>
      <c r="G2" s="4" t="s">
        <v>189</v>
      </c>
      <c r="H2" s="11" t="s">
        <v>187</v>
      </c>
      <c r="I2" s="37" t="b">
        <f>IF(COUNTIF(A!$B$15:$B$54,"!")&gt;0,FALSE,TRUE)</f>
        <v>0</v>
      </c>
      <c r="J2" s="1"/>
      <c r="K2" s="1"/>
      <c r="L2" s="1"/>
      <c r="M2" s="1"/>
      <c r="O2" s="4">
        <v>1</v>
      </c>
      <c r="P2" s="11" t="s">
        <v>159</v>
      </c>
    </row>
    <row r="3" spans="1:16" ht="17.25" thickBot="1" x14ac:dyDescent="0.3">
      <c r="A3" s="1" t="s">
        <v>28</v>
      </c>
      <c r="B3" s="96" t="b">
        <f>AND(EA_Kategorie_Select&gt;1,EA_Kategorie_Select&lt;5)</f>
        <v>0</v>
      </c>
      <c r="D3" s="1" t="s">
        <v>91</v>
      </c>
      <c r="E3" s="319">
        <v>20</v>
      </c>
      <c r="G3" s="4">
        <v>0</v>
      </c>
      <c r="H3" s="11" t="s">
        <v>208</v>
      </c>
      <c r="I3" s="37" t="b">
        <f>IF(COUNTIF('0'!$B$20:$B$37,"!")&gt;0,FALSE,TRUE)</f>
        <v>0</v>
      </c>
      <c r="J3" s="1"/>
      <c r="K3" s="1"/>
      <c r="L3" s="1"/>
      <c r="M3" s="1"/>
      <c r="O3" s="4">
        <v>2</v>
      </c>
      <c r="P3" s="11" t="s">
        <v>3</v>
      </c>
    </row>
    <row r="4" spans="1:16" ht="17.25" thickBot="1" x14ac:dyDescent="0.3">
      <c r="A4" s="93" t="s">
        <v>21</v>
      </c>
      <c r="B4" s="97">
        <f>IF(OR(B2=TRUE,B3=TRUE),30,20)</f>
        <v>20</v>
      </c>
      <c r="D4" s="1" t="s">
        <v>92</v>
      </c>
      <c r="E4" s="63">
        <v>50</v>
      </c>
      <c r="G4" s="4">
        <v>1</v>
      </c>
      <c r="H4" s="37" t="str">
        <f>INDEX(EA_RH_System,EA_RH_System_Select)</f>
        <v>Bitte wählen…</v>
      </c>
      <c r="I4" s="37" t="b">
        <f>IF(OR(COUNTIF('1'!$B$20:$B$51,"!")&gt;0,EA_RH_System_Select=1),FALSE,TRUE)</f>
        <v>0</v>
      </c>
      <c r="J4" s="1"/>
      <c r="K4" s="1"/>
      <c r="L4" s="37" t="b">
        <f t="shared" ref="L4:L9" si="0">OR(J4=TRUE,K4=TRUE)</f>
        <v>0</v>
      </c>
      <c r="M4" s="127">
        <f>IF(OR(EA_Nachweis&lt;4,Basis_Status&gt;0),0,MATCH(MIN('7'!F18:F23),'7'!F18:F23,0))</f>
        <v>0</v>
      </c>
      <c r="O4" s="4">
        <v>3</v>
      </c>
      <c r="P4" s="11" t="s">
        <v>97</v>
      </c>
    </row>
    <row r="5" spans="1:16" ht="17.25" thickBot="1" x14ac:dyDescent="0.3">
      <c r="A5" s="93" t="s">
        <v>259</v>
      </c>
      <c r="B5" s="95">
        <v>0</v>
      </c>
      <c r="C5" s="68"/>
      <c r="D5" s="1" t="s">
        <v>95</v>
      </c>
      <c r="E5" s="241" t="s">
        <v>309</v>
      </c>
      <c r="G5" s="4">
        <v>2</v>
      </c>
      <c r="H5" s="37" t="str">
        <f>Tabellen!$J$10</f>
        <v>Pelletsanlage</v>
      </c>
      <c r="I5" s="37" t="b">
        <f>IF(COUNTIF('2'!$B$20:$B$46,"!")&gt;0,FALSE,TRUE)</f>
        <v>0</v>
      </c>
      <c r="J5" s="41" t="b">
        <v>0</v>
      </c>
      <c r="K5" s="41" t="b">
        <v>0</v>
      </c>
      <c r="L5" s="37" t="b">
        <f t="shared" si="0"/>
        <v>0</v>
      </c>
      <c r="M5" s="1"/>
      <c r="O5" s="4">
        <v>4</v>
      </c>
      <c r="P5" s="11" t="s">
        <v>7</v>
      </c>
    </row>
    <row r="6" spans="1:16" ht="17.25" thickBot="1" x14ac:dyDescent="0.3">
      <c r="A6" s="93" t="s">
        <v>257</v>
      </c>
      <c r="B6" s="95">
        <v>1</v>
      </c>
      <c r="C6" s="68"/>
      <c r="D6" s="93" t="s">
        <v>209</v>
      </c>
      <c r="E6" s="185">
        <v>3000</v>
      </c>
      <c r="G6" s="4">
        <v>3</v>
      </c>
      <c r="H6" s="37" t="str">
        <f>Tabellen!$J$7</f>
        <v>Nah- /Fernwärme (ern.)</v>
      </c>
      <c r="I6" s="37" t="b">
        <f>IF(COUNTIF('3'!$B$20:$B$46,"!")&gt;0,FALSE,TRUE)</f>
        <v>0</v>
      </c>
      <c r="J6" s="41" t="b">
        <v>0</v>
      </c>
      <c r="K6" s="41" t="b">
        <v>0</v>
      </c>
      <c r="L6" s="37" t="b">
        <f t="shared" si="0"/>
        <v>0</v>
      </c>
      <c r="M6" s="1"/>
      <c r="O6" s="4">
        <v>5</v>
      </c>
      <c r="P6" s="11" t="s">
        <v>210</v>
      </c>
    </row>
    <row r="7" spans="1:16" ht="17.25" thickBot="1" x14ac:dyDescent="0.3">
      <c r="A7" s="93" t="s">
        <v>258</v>
      </c>
      <c r="B7" s="95">
        <v>1</v>
      </c>
      <c r="C7" s="68"/>
      <c r="D7" s="93" t="s">
        <v>217</v>
      </c>
      <c r="E7" s="97" t="b">
        <f>IF((SUM('1'!G31:G32)+SUM('2'!G30:G31)+SUM('3'!G30:G31)+SUM('4'!G30:G31)+SUM('5'!G30:G31)+SUM('6'!G30:G31))&gt;0,TRUE,FALSE)</f>
        <v>0</v>
      </c>
      <c r="G7" s="4">
        <v>4</v>
      </c>
      <c r="H7" s="37" t="str">
        <f>Tabellen!$J$14</f>
        <v>Wärmepumpe (Luft)</v>
      </c>
      <c r="I7" s="37" t="b">
        <f>IF(COUNTIF('4'!$B$20:$B$46,"!")&gt;0,FALSE,TRUE)</f>
        <v>0</v>
      </c>
      <c r="J7" s="41" t="b">
        <v>0</v>
      </c>
      <c r="K7" s="41" t="b">
        <v>0</v>
      </c>
      <c r="L7" s="37" t="b">
        <f t="shared" si="0"/>
        <v>0</v>
      </c>
      <c r="M7" s="1"/>
      <c r="O7" s="2"/>
      <c r="P7" s="69"/>
    </row>
    <row r="8" spans="1:16" ht="17.25" thickBot="1" x14ac:dyDescent="0.3">
      <c r="A8" s="93" t="s">
        <v>256</v>
      </c>
      <c r="B8" s="95">
        <v>1</v>
      </c>
      <c r="D8" s="93" t="s">
        <v>285</v>
      </c>
      <c r="E8" s="331">
        <v>44135</v>
      </c>
      <c r="G8" s="4">
        <v>5</v>
      </c>
      <c r="H8" s="37" t="str">
        <f>Tabellen!$J$13</f>
        <v>Wärmepumpe (Wasser)</v>
      </c>
      <c r="I8" s="37" t="b">
        <f>IF(COUNTIF('5'!$B$20:$B$46,"!")&gt;0,FALSE,TRUE)</f>
        <v>0</v>
      </c>
      <c r="J8" s="41" t="b">
        <v>0</v>
      </c>
      <c r="K8" s="41" t="b">
        <v>0</v>
      </c>
      <c r="L8" s="37" t="b">
        <f t="shared" si="0"/>
        <v>0</v>
      </c>
      <c r="M8" s="1"/>
    </row>
    <row r="9" spans="1:16" ht="17.25" thickBot="1" x14ac:dyDescent="0.3">
      <c r="A9" s="93" t="s">
        <v>136</v>
      </c>
      <c r="B9" s="97" t="b">
        <f>EA_TSA_Select=2</f>
        <v>0</v>
      </c>
      <c r="D9" s="93" t="s">
        <v>363</v>
      </c>
      <c r="E9" s="332">
        <v>2020</v>
      </c>
      <c r="G9" s="4">
        <v>6</v>
      </c>
      <c r="H9" s="37" t="str">
        <f>Tabellen!$J$15</f>
        <v>Wärmepumpe (Sole)</v>
      </c>
      <c r="I9" s="37" t="b">
        <f>IF(COUNTIF('6'!$B$20:$B$46,"!")&gt;0,FALSE,TRUE)</f>
        <v>0</v>
      </c>
      <c r="J9" s="41" t="b">
        <v>0</v>
      </c>
      <c r="K9" s="41" t="b">
        <v>0</v>
      </c>
      <c r="L9" s="37" t="b">
        <f t="shared" si="0"/>
        <v>0</v>
      </c>
      <c r="M9" s="1"/>
    </row>
    <row r="10" spans="1:16" ht="17.25" thickBot="1" x14ac:dyDescent="0.3">
      <c r="A10" s="93" t="s">
        <v>137</v>
      </c>
      <c r="B10" s="97" t="b">
        <f>OR(EA_PV_Export&gt;0,EA_PV_Ertrag&gt;0)</f>
        <v>0</v>
      </c>
      <c r="G10" s="4">
        <v>7</v>
      </c>
      <c r="H10" s="11" t="s">
        <v>16</v>
      </c>
      <c r="I10" s="218" t="b">
        <f>IF(COUNTIF('7'!$B$20:$B$80,"!")&gt;0,FALSE,TRUE)</f>
        <v>0</v>
      </c>
      <c r="J10" s="1"/>
      <c r="K10" s="1"/>
      <c r="L10" s="1"/>
      <c r="M10" s="1"/>
    </row>
    <row r="11" spans="1:16" ht="17.25" thickBot="1" x14ac:dyDescent="0.3">
      <c r="A11" s="93" t="s">
        <v>311</v>
      </c>
      <c r="B11" s="97" t="b">
        <f>EA_WW_System_Select=9</f>
        <v>0</v>
      </c>
      <c r="I11" s="219">
        <f>COUNTIF(Auswahl!$I$2:$I$10,FALSE)</f>
        <v>9</v>
      </c>
    </row>
    <row r="12" spans="1:16" ht="17.25" thickBot="1" x14ac:dyDescent="0.3">
      <c r="A12" s="93" t="s">
        <v>0</v>
      </c>
      <c r="B12" s="100">
        <v>4.2299999999999997E-2</v>
      </c>
    </row>
    <row r="13" spans="1:16" ht="17.25" thickBot="1" x14ac:dyDescent="0.3">
      <c r="A13" s="93" t="s">
        <v>150</v>
      </c>
      <c r="B13" s="100">
        <v>0.02</v>
      </c>
      <c r="D13" s="461" t="s">
        <v>272</v>
      </c>
      <c r="E13" s="461"/>
    </row>
    <row r="14" spans="1:16" ht="18.75" thickBot="1" x14ac:dyDescent="0.3">
      <c r="A14" s="93" t="s">
        <v>22</v>
      </c>
      <c r="B14" s="98">
        <f>(B12-B13)/(1+B13)</f>
        <v>2.1862745098039212E-2</v>
      </c>
      <c r="D14" s="467" t="s">
        <v>273</v>
      </c>
      <c r="E14" s="467"/>
      <c r="H14" s="285"/>
    </row>
    <row r="15" spans="1:16" ht="18.75" thickBot="1" x14ac:dyDescent="0.3">
      <c r="A15" s="93" t="s">
        <v>184</v>
      </c>
      <c r="B15" s="99">
        <f>(1-(1+Basis_Realzins)^(-Basis_Betrachtungszeitraum))/Basis_Realzins</f>
        <v>16.061270808758412</v>
      </c>
      <c r="C15" s="68"/>
      <c r="D15" s="466" t="s">
        <v>274</v>
      </c>
      <c r="E15" s="466"/>
    </row>
    <row r="16" spans="1:16" ht="18.75" thickBot="1" x14ac:dyDescent="0.3">
      <c r="A16" s="93" t="s">
        <v>181</v>
      </c>
      <c r="B16" s="100">
        <v>0.02</v>
      </c>
      <c r="D16" s="465" t="s">
        <v>275</v>
      </c>
      <c r="E16" s="465"/>
    </row>
    <row r="17" spans="1:5" ht="18.75" thickBot="1" x14ac:dyDescent="0.3">
      <c r="A17" s="93" t="s">
        <v>151</v>
      </c>
      <c r="B17" s="100">
        <v>0.02</v>
      </c>
      <c r="D17" s="464" t="s">
        <v>270</v>
      </c>
      <c r="E17" s="464"/>
    </row>
    <row r="18" spans="1:5" ht="18.75" thickBot="1" x14ac:dyDescent="0.3">
      <c r="A18" s="93" t="s">
        <v>182</v>
      </c>
      <c r="B18" s="99">
        <f>(1-((1+Basis_Preisentwicklung_Produkte)/(1+Basis_Marktzins))^Basis_Betrachtungszeitraum)/(1-((1+Basis_Inflation)/(1+Basis_Marktzins))^Basis_Betrachtungszeitraum)*((Basis_Marktzins-Basis_Inflation)/(1+Basis_Inflation))/((Basis_Marktzins-Basis_Preisentwicklung_Produkte)/(1+Basis_Preisentwicklung_Produkte))</f>
        <v>1</v>
      </c>
      <c r="D18" s="462" t="s">
        <v>330</v>
      </c>
      <c r="E18" s="463"/>
    </row>
    <row r="19" spans="1:5" ht="18.75" thickBot="1" x14ac:dyDescent="0.3">
      <c r="A19" s="93" t="s">
        <v>183</v>
      </c>
      <c r="B19" s="99">
        <f>(1-((1+Basis_Preisentwicklung_Instandhaltung)/(1+Basis_Marktzins))^Basis_Betrachtungszeitraum)/(1-((1+Basis_Inflation)/(1+Basis_Marktzins))^Basis_Betrachtungszeitraum)*((Basis_Marktzins-Basis_Inflation)/(1+Basis_Inflation))/((Basis_Marktzins-Basis_Preisentwicklung_Instandhaltung)/(1+Basis_Preisentwicklung_Instandhaltung))</f>
        <v>1</v>
      </c>
    </row>
    <row r="20" spans="1:5" ht="18.75" thickBot="1" x14ac:dyDescent="0.3">
      <c r="A20" s="93" t="s">
        <v>90</v>
      </c>
      <c r="B20" s="99">
        <f>(1/(1+Basis_Realzins))^Basis_Betrachtungszeitraum</f>
        <v>0.6488565303575371</v>
      </c>
    </row>
    <row r="21" spans="1:5" ht="17.25" thickBot="1" x14ac:dyDescent="0.3">
      <c r="A21" s="93" t="s">
        <v>96</v>
      </c>
      <c r="B21" s="100">
        <v>0.2</v>
      </c>
    </row>
    <row r="22" spans="1:5" ht="17.25" thickBot="1" x14ac:dyDescent="0.3">
      <c r="A22" s="1" t="s">
        <v>267</v>
      </c>
      <c r="B22" s="100">
        <v>0.2</v>
      </c>
    </row>
    <row r="23" spans="1:5" ht="17.25" thickBot="1" x14ac:dyDescent="0.3">
      <c r="A23" s="1" t="s">
        <v>278</v>
      </c>
      <c r="B23" s="247">
        <v>2.5</v>
      </c>
    </row>
    <row r="24" spans="1:5" ht="17.25" thickBot="1" x14ac:dyDescent="0.3">
      <c r="A24" s="93" t="s">
        <v>290</v>
      </c>
      <c r="B24" s="99" t="b">
        <f>IF(AND(EA_WG=FALSE,'7'!$N$32&lt;&gt;""),TRUE,FALSE)</f>
        <v>0</v>
      </c>
    </row>
    <row r="25" spans="1:5" ht="17.25" thickBot="1" x14ac:dyDescent="0.3">
      <c r="A25" s="93" t="s">
        <v>291</v>
      </c>
      <c r="B25" s="99" t="b">
        <f>AND(EA_WG=FALSE,'7'!$N$33&lt;&gt;"")</f>
        <v>0</v>
      </c>
    </row>
    <row r="26" spans="1:5" ht="17.25" thickBot="1" x14ac:dyDescent="0.3">
      <c r="A26" s="93" t="s">
        <v>284</v>
      </c>
      <c r="B26" s="99" t="b">
        <f>OR(EA_WG=FALSE,EA_BGF&gt;Basis_BGF_Grenze,(SUM('7'!$H$39:$H$44)+SUM('7'!$N$39:$N$44))&gt;0)</f>
        <v>1</v>
      </c>
    </row>
    <row r="27" spans="1:5" ht="17.25" thickBot="1" x14ac:dyDescent="0.3">
      <c r="A27" s="93" t="s">
        <v>281</v>
      </c>
      <c r="B27" s="99" t="b">
        <f>OR(B24=TRUE,B26=TRUE)</f>
        <v>1</v>
      </c>
    </row>
    <row r="28" spans="1:5" ht="17.25" thickBot="1" x14ac:dyDescent="0.3">
      <c r="A28" s="93" t="s">
        <v>282</v>
      </c>
      <c r="B28" s="99" t="b">
        <f>AND(OR(EA_BGF&gt;=Basis_BGF_Grenze,EA_WG=FALSE),SUM('7'!O51:P56)&gt;0)</f>
        <v>0</v>
      </c>
    </row>
    <row r="29" spans="1:5" ht="17.25" thickBot="1" x14ac:dyDescent="0.3">
      <c r="A29" s="93" t="s">
        <v>283</v>
      </c>
      <c r="B29" s="99" t="b">
        <f>IF(OR(AND(OR(EA_BGF&gt;=Basis_BGF_Grenze,EA_WG=FALSE),SUM('7'!N61:N66)&gt;0)),TRUE,FALSE)</f>
        <v>0</v>
      </c>
    </row>
    <row r="30" spans="1:5" ht="17.25" thickBot="1" x14ac:dyDescent="0.3">
      <c r="A30" s="93" t="s">
        <v>292</v>
      </c>
      <c r="B30" s="269">
        <f>IF(Basis_mod_HWB=TRUE,'7'!$N$32,'7'!$L$32)</f>
        <v>0</v>
      </c>
    </row>
    <row r="31" spans="1:5" ht="17.25" thickBot="1" x14ac:dyDescent="0.3">
      <c r="A31" s="93" t="s">
        <v>293</v>
      </c>
      <c r="B31" s="270">
        <f>IF(Basis_mod_WWWB=TRUE,'7'!$N$33,'7'!$L$33)</f>
        <v>0</v>
      </c>
    </row>
    <row r="32" spans="1:5" ht="17.25" thickBot="1" x14ac:dyDescent="0.3">
      <c r="A32" s="93" t="s">
        <v>342</v>
      </c>
      <c r="B32" s="247">
        <v>20</v>
      </c>
    </row>
    <row r="33" spans="1:2" ht="17.25" thickBot="1" x14ac:dyDescent="0.3">
      <c r="A33" s="93" t="s">
        <v>343</v>
      </c>
      <c r="B33" s="247">
        <v>25</v>
      </c>
    </row>
    <row r="34" spans="1:2" ht="17.25" thickBot="1" x14ac:dyDescent="0.3">
      <c r="A34" s="93" t="s">
        <v>348</v>
      </c>
      <c r="B34" s="95">
        <v>1</v>
      </c>
    </row>
    <row r="35" spans="1:2" ht="17.25" thickBot="1" x14ac:dyDescent="0.3">
      <c r="A35" s="93" t="s">
        <v>354</v>
      </c>
      <c r="B35" s="95">
        <v>0</v>
      </c>
    </row>
  </sheetData>
  <sheetProtection selectLockedCells="1"/>
  <mergeCells count="6">
    <mergeCell ref="D13:E13"/>
    <mergeCell ref="D18:E18"/>
    <mergeCell ref="D17:E17"/>
    <mergeCell ref="D16:E16"/>
    <mergeCell ref="D15:E15"/>
    <mergeCell ref="D14:E14"/>
  </mergeCells>
  <conditionalFormatting sqref="N3">
    <cfRule type="expression" priority="19">
      <formula>$I$5=TRUE</formula>
    </cfRule>
  </conditionalFormatting>
  <dataValidations disablePrompts="1" count="3">
    <dataValidation type="list" allowBlank="1" showInputMessage="1" showErrorMessage="1" sqref="E1" xr:uid="{00000000-0002-0000-0900-000000000000}">
      <formula1>"ÖNORM EN 15459:2008-06-01,ÖNORM EN 15459-1:2017-12-01,ÖNORM M 7140:2013-07-01,OIB CostOpt (vereinfacht)"</formula1>
    </dataValidation>
    <dataValidation type="list" allowBlank="1" showInputMessage="1" showErrorMessage="1" sqref="E2" xr:uid="{00000000-0002-0000-0900-000001000000}">
      <formula1>"CostOpt 2019 (vereinfacht),Empfehlung Energie Tirol,VDI 2067"</formula1>
    </dataValidation>
    <dataValidation type="list" allowBlank="1" showInputMessage="1" showErrorMessage="1" sqref="E5" xr:uid="{00000000-0002-0000-0900-000002000000}">
      <formula1>"ÖNORM EN 15459:2008-06-01,OIB CostOpt 2019 (vereinfacht)"</formula1>
    </dataValidation>
  </dataValidations>
  <pageMargins left="0.7" right="0.7" top="0.78740157499999996" bottom="0.78740157499999996" header="0.3" footer="0.3"/>
  <pageSetup paperSize="9"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tabColor theme="7"/>
  </sheetPr>
  <dimension ref="A1:BL75"/>
  <sheetViews>
    <sheetView topLeftCell="R1" workbookViewId="0">
      <selection activeCell="AM12" sqref="AM12"/>
    </sheetView>
  </sheetViews>
  <sheetFormatPr baseColWidth="10" defaultRowHeight="15" x14ac:dyDescent="0.25"/>
  <cols>
    <col min="1" max="1" width="30.140625" customWidth="1"/>
    <col min="2" max="2" width="1.42578125" customWidth="1"/>
    <col min="3" max="3" width="30.140625" customWidth="1"/>
    <col min="4" max="4" width="1.42578125" customWidth="1"/>
    <col min="5" max="5" width="43.5703125" bestFit="1" customWidth="1"/>
    <col min="6" max="6" width="13.7109375" bestFit="1" customWidth="1"/>
    <col min="7" max="7" width="7.42578125" bestFit="1" customWidth="1"/>
    <col min="8" max="8" width="15.5703125" bestFit="1" customWidth="1"/>
    <col min="9" max="9" width="1.42578125" customWidth="1"/>
    <col min="10" max="10" width="26.7109375" bestFit="1" customWidth="1"/>
    <col min="11" max="11" width="24.140625" bestFit="1" customWidth="1"/>
    <col min="12" max="15" width="20.7109375" customWidth="1"/>
    <col min="16" max="16" width="5.140625" customWidth="1"/>
    <col min="17" max="17" width="33" bestFit="1" customWidth="1"/>
    <col min="18" max="20" width="10.7109375" customWidth="1"/>
    <col min="21" max="21" width="13" customWidth="1"/>
    <col min="22" max="23" width="15.85546875" customWidth="1"/>
    <col min="24" max="24" width="13.42578125" customWidth="1"/>
    <col min="25" max="25" width="1.42578125" customWidth="1"/>
    <col min="26" max="26" width="33.28515625" bestFit="1" customWidth="1"/>
    <col min="27" max="30" width="9" customWidth="1"/>
    <col min="31" max="31" width="1.42578125" customWidth="1"/>
    <col min="32" max="32" width="12.5703125" customWidth="1"/>
    <col min="33" max="33" width="15.28515625" customWidth="1"/>
    <col min="34" max="37" width="12.5703125" customWidth="1"/>
    <col min="38" max="38" width="12.5703125" style="199" customWidth="1"/>
    <col min="39" max="44" width="12.5703125" customWidth="1"/>
    <col min="45" max="45" width="1.42578125" customWidth="1"/>
    <col min="47" max="47" width="1.42578125" customWidth="1"/>
    <col min="48" max="48" width="22.42578125" bestFit="1" customWidth="1"/>
    <col min="49" max="49" width="14.7109375" bestFit="1" customWidth="1"/>
    <col min="50" max="50" width="12.5703125" bestFit="1" customWidth="1"/>
    <col min="51" max="51" width="12.28515625" bestFit="1" customWidth="1"/>
    <col min="52" max="52" width="13" bestFit="1" customWidth="1"/>
    <col min="57" max="57" width="26.7109375" bestFit="1" customWidth="1"/>
  </cols>
  <sheetData>
    <row r="1" spans="1:64" ht="25.5" x14ac:dyDescent="0.35">
      <c r="A1" s="230" t="s">
        <v>252</v>
      </c>
      <c r="C1" s="230"/>
      <c r="E1" s="230" t="s">
        <v>251</v>
      </c>
      <c r="J1" s="230" t="s">
        <v>261</v>
      </c>
      <c r="AV1" s="230" t="s">
        <v>263</v>
      </c>
    </row>
    <row r="3" spans="1:64" ht="18.75" thickBot="1" x14ac:dyDescent="0.3">
      <c r="A3" s="14" t="s">
        <v>130</v>
      </c>
      <c r="B3" s="69"/>
      <c r="C3" s="14" t="s">
        <v>131</v>
      </c>
      <c r="E3" s="14" t="s">
        <v>80</v>
      </c>
      <c r="F3" s="8" t="s">
        <v>36</v>
      </c>
      <c r="G3" s="9" t="s">
        <v>50</v>
      </c>
      <c r="H3" s="9" t="s">
        <v>51</v>
      </c>
      <c r="J3" s="14" t="s">
        <v>48</v>
      </c>
      <c r="K3" s="14" t="s">
        <v>8</v>
      </c>
      <c r="L3" s="14" t="s">
        <v>163</v>
      </c>
      <c r="M3" s="14" t="s">
        <v>164</v>
      </c>
      <c r="N3" s="232" t="s">
        <v>165</v>
      </c>
      <c r="O3" s="14" t="s">
        <v>98</v>
      </c>
      <c r="Q3" s="14" t="s">
        <v>8</v>
      </c>
      <c r="R3" s="122" t="s">
        <v>13</v>
      </c>
      <c r="S3" s="122" t="s">
        <v>14</v>
      </c>
      <c r="T3" s="122" t="s">
        <v>15</v>
      </c>
      <c r="U3" s="122" t="s">
        <v>155</v>
      </c>
      <c r="V3" s="122" t="s">
        <v>172</v>
      </c>
      <c r="W3" s="122" t="s">
        <v>268</v>
      </c>
      <c r="X3" s="122" t="s">
        <v>172</v>
      </c>
      <c r="Z3" s="14" t="s">
        <v>46</v>
      </c>
      <c r="AA3" s="15" t="s">
        <v>72</v>
      </c>
      <c r="AB3" s="9" t="s">
        <v>73</v>
      </c>
      <c r="AC3" s="9" t="s">
        <v>94</v>
      </c>
      <c r="AD3" s="9" t="s">
        <v>74</v>
      </c>
      <c r="AF3" s="122" t="str">
        <f>C4</f>
        <v>Bitte wählen…</v>
      </c>
      <c r="AG3" s="122" t="str">
        <f>C5</f>
        <v>Flüssiggasanlage</v>
      </c>
      <c r="AH3" s="122" t="str">
        <f>C6</f>
        <v>Gas-System</v>
      </c>
      <c r="AI3" s="122" t="str">
        <f>C7</f>
        <v>Hackschnitzelheizung</v>
      </c>
      <c r="AJ3" s="122" t="str">
        <f>C8</f>
        <v>Nah- /Fernwärme (ern.)</v>
      </c>
      <c r="AK3" s="122" t="str">
        <f>C9</f>
        <v>Nah- /Fernwärme (n.ern.)</v>
      </c>
      <c r="AL3" s="15" t="str">
        <f>C10</f>
        <v>Öl-System</v>
      </c>
      <c r="AM3" s="122" t="str">
        <f>C11</f>
        <v>Pelletsanlage</v>
      </c>
      <c r="AN3" s="122" t="str">
        <f>C12</f>
        <v>Stromdirektheizung</v>
      </c>
      <c r="AO3" s="122" t="str">
        <f>C13</f>
        <v>Stückholzheizung</v>
      </c>
      <c r="AP3" s="122" t="str">
        <f>C14</f>
        <v>Wärmepumpe (Wasser)</v>
      </c>
      <c r="AQ3" s="122" t="str">
        <f>C15</f>
        <v>Wärmepumpe (Luft)</v>
      </c>
      <c r="AR3" s="122" t="str">
        <f>C16</f>
        <v>Wärmepumpe (Sole)</v>
      </c>
      <c r="AT3" s="122" t="s">
        <v>219</v>
      </c>
      <c r="AV3" s="250" t="s">
        <v>277</v>
      </c>
      <c r="AW3" s="250"/>
      <c r="AX3" s="249"/>
      <c r="AY3" s="249"/>
      <c r="AZ3" s="249"/>
      <c r="BA3" s="250" t="s">
        <v>325</v>
      </c>
      <c r="BB3" s="251"/>
      <c r="BC3" s="250" t="s">
        <v>97</v>
      </c>
    </row>
    <row r="4" spans="1:64" ht="16.5" x14ac:dyDescent="0.25">
      <c r="A4" s="110" t="s">
        <v>53</v>
      </c>
      <c r="B4" s="69"/>
      <c r="C4" s="109" t="s">
        <v>53</v>
      </c>
      <c r="E4" s="110" t="s">
        <v>53</v>
      </c>
      <c r="F4" s="13"/>
      <c r="G4" s="4"/>
      <c r="H4" s="6"/>
      <c r="J4" s="130" t="str">
        <f t="shared" ref="J4:J15" si="0">A5</f>
        <v>Flüssiggasanlage</v>
      </c>
      <c r="K4" s="131" t="str">
        <f t="shared" ref="K4:K12" si="1">Q4</f>
        <v>Flüssiggas</v>
      </c>
      <c r="L4" s="281">
        <f>L5</f>
        <v>75</v>
      </c>
      <c r="M4" s="281">
        <f>M5</f>
        <v>175</v>
      </c>
      <c r="N4" s="282">
        <f>N5</f>
        <v>260</v>
      </c>
      <c r="O4" s="320" t="str">
        <f>IF(EA_Kategorie_Select=1,"---",IF(EA_Kategorie_Select=2,L4,(IF(EA_Kategorie_Select=3,M4,N4))+IF(EA_TSA_Status=TRUE,Basis_BK_TSA,0)+IF(EA_PV_Status=TRUE,Basis_BK_PV,0))/(IF(EA_WG=TRUE,1,(1+Basis_Steuersatz))))</f>
        <v>---</v>
      </c>
      <c r="Q4" s="110" t="s">
        <v>152</v>
      </c>
      <c r="R4" s="125">
        <v>1.1000000000000001</v>
      </c>
      <c r="S4" s="123">
        <v>1.1000000000000001</v>
      </c>
      <c r="T4" s="124">
        <v>247</v>
      </c>
      <c r="U4" s="262">
        <v>1.7999999999999999E-2</v>
      </c>
      <c r="V4" s="263">
        <f>0.112/IF(EA_WG=TRUE,1,1+W4)</f>
        <v>9.3333333333333338E-2</v>
      </c>
      <c r="W4" s="236">
        <f>Basis_Steuersatz</f>
        <v>0.2</v>
      </c>
      <c r="X4" s="296">
        <f>IF(Basis_mod_Energiekosten=TRUE,INDEX('7'!$O$51:$O$56,MATCH(Q4,'7'!$C$51:$C$56,0))/100,V4)</f>
        <v>9.3333333333333338E-2</v>
      </c>
      <c r="Z4" s="119" t="s">
        <v>68</v>
      </c>
      <c r="AA4" s="16">
        <f>IF(Auswahl!$E$2="Empfehlung Energie Tirol",AB4,IF(Auswahl!$E$2="VDI 2067",AC4,AD4))</f>
        <v>50</v>
      </c>
      <c r="AB4" s="113">
        <v>50</v>
      </c>
      <c r="AC4" s="113"/>
      <c r="AD4" s="114">
        <v>50</v>
      </c>
      <c r="AF4" s="202"/>
      <c r="AG4" s="203" t="s">
        <v>37</v>
      </c>
      <c r="AH4" s="203" t="s">
        <v>37</v>
      </c>
      <c r="AI4" s="203"/>
      <c r="AJ4" s="203"/>
      <c r="AK4" s="203"/>
      <c r="AL4" s="203" t="s">
        <v>37</v>
      </c>
      <c r="AM4" s="203" t="s">
        <v>37</v>
      </c>
      <c r="AN4" s="203" t="s">
        <v>40</v>
      </c>
      <c r="AO4" s="204"/>
      <c r="AP4" s="203" t="s">
        <v>38</v>
      </c>
      <c r="AQ4" s="203" t="s">
        <v>38</v>
      </c>
      <c r="AR4" s="205" t="s">
        <v>38</v>
      </c>
      <c r="AT4" s="200" t="s">
        <v>69</v>
      </c>
      <c r="AV4" s="251"/>
      <c r="AW4" s="252" t="s">
        <v>3</v>
      </c>
      <c r="AX4" s="252" t="s">
        <v>97</v>
      </c>
      <c r="AY4" s="252" t="s">
        <v>7</v>
      </c>
      <c r="AZ4" s="252" t="s">
        <v>194</v>
      </c>
      <c r="BA4" s="252" t="s">
        <v>294</v>
      </c>
      <c r="BB4" s="252" t="s">
        <v>295</v>
      </c>
      <c r="BC4" s="251"/>
    </row>
    <row r="5" spans="1:64" ht="16.5" x14ac:dyDescent="0.25">
      <c r="A5" s="111" t="s">
        <v>140</v>
      </c>
      <c r="B5" s="69"/>
      <c r="C5" s="107" t="str">
        <f t="shared" ref="C5:C11" si="2">A5</f>
        <v>Flüssiggasanlage</v>
      </c>
      <c r="E5" s="111" t="s">
        <v>29</v>
      </c>
      <c r="F5" s="113">
        <v>21</v>
      </c>
      <c r="G5" s="114">
        <v>365</v>
      </c>
      <c r="H5" s="116">
        <f>F5*G5/1000</f>
        <v>7.665</v>
      </c>
      <c r="J5" s="132" t="str">
        <f t="shared" si="0"/>
        <v>Gas-System</v>
      </c>
      <c r="K5" s="37" t="str">
        <f t="shared" si="1"/>
        <v>Erdgas</v>
      </c>
      <c r="L5" s="114">
        <v>75</v>
      </c>
      <c r="M5" s="114">
        <v>175</v>
      </c>
      <c r="N5" s="233">
        <v>260</v>
      </c>
      <c r="O5" s="271" t="str">
        <f>IF(EA_Kategorie_Select=1,"---",IF(EA_Kategorie_Select=2,L5,(IF(EA_Kategorie_Select=3,M5,N5))+IF(EA_TSA_Status=TRUE,Basis_BK_TSA,0)+IF(EA_PV_Status=TRUE,Basis_BK_PV,0))/(IF(EA_WG=TRUE,1,(1+Basis_Steuersatz))))</f>
        <v>---</v>
      </c>
      <c r="Q5" s="111" t="s">
        <v>10</v>
      </c>
      <c r="R5" s="126">
        <v>1.1000000000000001</v>
      </c>
      <c r="S5" s="115">
        <v>1.1000000000000001</v>
      </c>
      <c r="T5" s="114">
        <v>247</v>
      </c>
      <c r="U5" s="118">
        <v>3.5999999999999997E-2</v>
      </c>
      <c r="V5" s="298">
        <f>0.078/IF(EA_WG=TRUE,1,1+W5)</f>
        <v>6.5000000000000002E-2</v>
      </c>
      <c r="W5" s="237">
        <f>Basis_Steuersatz</f>
        <v>0.2</v>
      </c>
      <c r="X5" s="294">
        <f>IF(Basis_mod_Energiekosten=TRUE,INDEX('7'!$O$51:$O$56,MATCH(Q5,'7'!$C$51:$C$56,0))/100,V5)</f>
        <v>6.5000000000000002E-2</v>
      </c>
      <c r="Z5" s="120" t="s">
        <v>58</v>
      </c>
      <c r="AA5" s="17">
        <f>IF(Auswahl!$E$2="Empfehlung Energie Tirol",AB5,IF(Auswahl!$E$2="VDI 2067",AC5,AD5))</f>
        <v>50</v>
      </c>
      <c r="AB5" s="113">
        <v>50</v>
      </c>
      <c r="AC5" s="113"/>
      <c r="AD5" s="114">
        <v>50</v>
      </c>
      <c r="AF5" s="206"/>
      <c r="AG5" s="200" t="s">
        <v>71</v>
      </c>
      <c r="AH5" s="200"/>
      <c r="AI5" s="200"/>
      <c r="AJ5" s="200"/>
      <c r="AK5" s="200"/>
      <c r="AL5" s="200" t="s">
        <v>41</v>
      </c>
      <c r="AM5" s="200" t="s">
        <v>43</v>
      </c>
      <c r="AN5" s="200"/>
      <c r="AO5" s="196"/>
      <c r="AP5" s="200"/>
      <c r="AQ5" s="200" t="s">
        <v>76</v>
      </c>
      <c r="AR5" s="207"/>
      <c r="AT5" s="200" t="s">
        <v>70</v>
      </c>
      <c r="AV5" s="37" t="str">
        <f>Auswahl!$G$4&amp;" | "&amp;Auswahl!$H$4</f>
        <v>1 | Bitte wählen…</v>
      </c>
      <c r="AW5" s="253" t="str">
        <f>IF(OR(Auswahl!I4=FALSE,Auswahl!L4=TRUE),"",'1'!$K$37)</f>
        <v/>
      </c>
      <c r="AX5" s="253" t="str">
        <f>IF(OR(Auswahl!I4=FALSE,Auswahl!L4=TRUE),"",'1'!$K$41)</f>
        <v/>
      </c>
      <c r="AY5" s="253" t="str">
        <f>IF(OR(Auswahl!I4=FALSE,Auswahl!L4=TRUE),"",SUM('1'!$K$45:$K$51))</f>
        <v/>
      </c>
      <c r="AZ5" s="253" t="str">
        <f>IF(OR(Auswahl!I4=FALSE,Auswahl!L4=TRUE),"",Basis_Kosten_CO2*'7'!H18)</f>
        <v/>
      </c>
      <c r="BA5" s="313">
        <f>EA_EAWZ_RH</f>
        <v>0</v>
      </c>
      <c r="BB5" s="313">
        <f>EA_EAWZ_WW</f>
        <v>0</v>
      </c>
      <c r="BC5" s="253" t="e">
        <f>IF(Basis_mod_Betrieb=TRUE,'7'!N61,VLOOKUP(Auswahl!H4,Tabelle_Betriebskosten,6,FALSE))</f>
        <v>#N/A</v>
      </c>
    </row>
    <row r="6" spans="1:64" ht="16.5" x14ac:dyDescent="0.25">
      <c r="A6" s="111" t="s">
        <v>340</v>
      </c>
      <c r="B6" s="69"/>
      <c r="C6" s="107" t="str">
        <f t="shared" si="2"/>
        <v>Gas-System</v>
      </c>
      <c r="E6" s="111" t="s">
        <v>30</v>
      </c>
      <c r="F6" s="113">
        <v>28</v>
      </c>
      <c r="G6" s="114">
        <v>365</v>
      </c>
      <c r="H6" s="116">
        <f t="shared" ref="H6:H16" si="3">F6*G6/1000</f>
        <v>10.220000000000001</v>
      </c>
      <c r="J6" s="132" t="str">
        <f t="shared" si="0"/>
        <v>Hackschnitzelheizung</v>
      </c>
      <c r="K6" s="37" t="str">
        <f t="shared" si="1"/>
        <v>Hackschnitzel</v>
      </c>
      <c r="L6" s="4"/>
      <c r="M6" s="4"/>
      <c r="N6" s="234"/>
      <c r="O6" s="322"/>
      <c r="Q6" s="111" t="s">
        <v>153</v>
      </c>
      <c r="R6" s="126">
        <v>1.1299999999999999</v>
      </c>
      <c r="S6" s="115">
        <v>0.1</v>
      </c>
      <c r="T6" s="114">
        <v>17</v>
      </c>
      <c r="U6" s="257"/>
      <c r="V6" s="258"/>
      <c r="W6" s="259"/>
      <c r="X6" s="295"/>
      <c r="Z6" s="120" t="s">
        <v>66</v>
      </c>
      <c r="AA6" s="17">
        <f>IF(Auswahl!$E$2="Empfehlung Energie Tirol",AB6,IF(Auswahl!$E$2="VDI 2067",AC6,AD6))</f>
        <v>50</v>
      </c>
      <c r="AB6" s="113">
        <v>50</v>
      </c>
      <c r="AC6" s="113"/>
      <c r="AD6" s="114">
        <v>50</v>
      </c>
      <c r="AF6" s="206"/>
      <c r="AG6" s="200"/>
      <c r="AH6" s="200"/>
      <c r="AI6" s="200"/>
      <c r="AJ6" s="200"/>
      <c r="AK6" s="200"/>
      <c r="AL6" s="200" t="s">
        <v>44</v>
      </c>
      <c r="AM6" s="200" t="s">
        <v>45</v>
      </c>
      <c r="AN6" s="200"/>
      <c r="AO6" s="196"/>
      <c r="AP6" s="200"/>
      <c r="AQ6" s="200" t="s">
        <v>42</v>
      </c>
      <c r="AR6" s="207"/>
      <c r="AV6" s="37" t="str">
        <f>Auswahl!$G$5&amp;" | "&amp;Auswahl!$H$5</f>
        <v>2 | Pelletsanlage</v>
      </c>
      <c r="AW6" s="253" t="str">
        <f>IF(OR(Auswahl!I5=FALSE,Auswahl!L5=TRUE),"",'2'!$K$36)</f>
        <v/>
      </c>
      <c r="AX6" s="253" t="str">
        <f>IF(OR(Auswahl!I5=FALSE,Auswahl!L5=TRUE),"",'2'!$K$40)</f>
        <v/>
      </c>
      <c r="AY6" s="253" t="str">
        <f>IF(OR(Auswahl!I5=FALSE,Auswahl!L5=TRUE),"",SUM('2'!$K$44:$K$45))</f>
        <v/>
      </c>
      <c r="AZ6" s="253" t="str">
        <f>IF(OR(Auswahl!I5=FALSE,Auswahl!L5=TRUE),"",Basis_Kosten_CO2*'7'!H19)</f>
        <v/>
      </c>
      <c r="BA6" s="313">
        <f>IF(Basis_mod_eAWZ=TRUE,'7'!H40,VLOOKUP(Auswahl!$H5,Tabelle_EAWZ_RH,8,FALSE))</f>
        <v>0</v>
      </c>
      <c r="BB6" s="313">
        <f>IF(Basis_mod_eAWZ=TRUE,'7'!N40,VLOOKUP(Auswahl!$H5,Tabelle_EAWZ_WW,8,FALSE))</f>
        <v>0</v>
      </c>
      <c r="BC6" s="253" t="str">
        <f>IF(Basis_mod_Betrieb=TRUE,'7'!N62,VLOOKUP(Auswahl!H5,Tabelle_Betriebskosten,6,FALSE))</f>
        <v>---</v>
      </c>
    </row>
    <row r="7" spans="1:64" ht="16.5" x14ac:dyDescent="0.25">
      <c r="A7" s="111" t="s">
        <v>144</v>
      </c>
      <c r="B7" s="69"/>
      <c r="C7" s="107" t="str">
        <f t="shared" si="2"/>
        <v>Hackschnitzelheizung</v>
      </c>
      <c r="E7" s="111" t="s">
        <v>31</v>
      </c>
      <c r="F7" s="113">
        <v>28</v>
      </c>
      <c r="G7" s="114">
        <v>365</v>
      </c>
      <c r="H7" s="116">
        <f t="shared" si="3"/>
        <v>10.220000000000001</v>
      </c>
      <c r="J7" s="132" t="str">
        <f t="shared" si="0"/>
        <v>Nah- /Fernwärme (ern.)</v>
      </c>
      <c r="K7" s="37" t="str">
        <f t="shared" si="1"/>
        <v>Nah- und Fernwärme (ern.)</v>
      </c>
      <c r="L7" s="114">
        <v>0</v>
      </c>
      <c r="M7" s="114">
        <v>0</v>
      </c>
      <c r="N7" s="233">
        <v>0</v>
      </c>
      <c r="O7" s="271" t="str">
        <f>IF(EA_Kategorie_Select=1,"---",IF(EA_Kategorie_Select=2,L7,(IF(EA_Kategorie_Select=3,M7,N7))+IF(EA_TSA_Status=TRUE,Basis_BK_TSA,0)+IF(EA_PV_Status=TRUE,Basis_BK_PV,0))/(IF(EA_WG=TRUE,1,(1+Basis_Steuersatz))))</f>
        <v>---</v>
      </c>
      <c r="Q7" s="111" t="s">
        <v>169</v>
      </c>
      <c r="R7" s="126">
        <v>1.6</v>
      </c>
      <c r="S7" s="115">
        <v>0.28000000000000003</v>
      </c>
      <c r="T7" s="114">
        <v>59</v>
      </c>
      <c r="U7" s="118">
        <v>1.2999999999999999E-2</v>
      </c>
      <c r="V7" s="298">
        <f>0.16/IF(EA_WG=TRUE,1,1+W7)</f>
        <v>0.13333333333333333</v>
      </c>
      <c r="W7" s="237">
        <f>Basis_Steuersatz</f>
        <v>0.2</v>
      </c>
      <c r="X7" s="294">
        <f>IF(Basis_mod_Energiekosten=TRUE,INDEX('7'!$O$51:$O$56,MATCH(Q7,'7'!$C$51:$C$56,0))/100,V7)</f>
        <v>0.13333333333333333</v>
      </c>
      <c r="Z7" s="120" t="s">
        <v>214</v>
      </c>
      <c r="AA7" s="17">
        <f>IF(Auswahl!$E$2="Empfehlung Energie Tirol",AB7,IF(Auswahl!$E$2="VDI 2067",AC7,AD7))</f>
        <v>50</v>
      </c>
      <c r="AB7" s="113">
        <v>50</v>
      </c>
      <c r="AC7" s="113"/>
      <c r="AD7" s="114">
        <v>50</v>
      </c>
      <c r="AF7" s="208"/>
      <c r="AG7" s="8"/>
      <c r="AH7" s="8"/>
      <c r="AI7" s="8"/>
      <c r="AJ7" s="8"/>
      <c r="AK7" s="8"/>
      <c r="AL7" s="8"/>
      <c r="AM7" s="8"/>
      <c r="AN7" s="8"/>
      <c r="AO7" s="8"/>
      <c r="AP7" s="8"/>
      <c r="AQ7" s="8"/>
      <c r="AR7" s="209"/>
      <c r="AV7" s="37" t="str">
        <f>Auswahl!$G$6&amp;" | "&amp;Auswahl!$H$6</f>
        <v>3 | Nah- /Fernwärme (ern.)</v>
      </c>
      <c r="AW7" s="253" t="str">
        <f>IF(OR(Auswahl!I6=FALSE,Auswahl!L6=TRUE),"",'3'!$K$36)</f>
        <v/>
      </c>
      <c r="AX7" s="253" t="str">
        <f>IF(OR(Auswahl!I6=FALSE,Auswahl!L6=TRUE),"",'3'!$K$40)</f>
        <v/>
      </c>
      <c r="AY7" s="253" t="str">
        <f>IF(OR(Auswahl!I6=FALSE,Auswahl!L6=TRUE),"",SUM('3'!$K$44:$K$45))</f>
        <v/>
      </c>
      <c r="AZ7" s="253" t="str">
        <f>IF(OR(Auswahl!I6=FALSE,Auswahl!L6=TRUE),"",Basis_Kosten_CO2*'7'!H20)</f>
        <v/>
      </c>
      <c r="BA7" s="313">
        <f>IF(Basis_mod_eAWZ=TRUE,'7'!H41,VLOOKUP(Auswahl!$H6,Tabelle_EAWZ_RH,8,FALSE))</f>
        <v>0</v>
      </c>
      <c r="BB7" s="313">
        <f>IF(Basis_mod_eAWZ=TRUE,'7'!N41,VLOOKUP(Auswahl!$H6,Tabelle_EAWZ_WW,8,FALSE))</f>
        <v>0</v>
      </c>
      <c r="BC7" s="253" t="str">
        <f>IF(Basis_mod_Betrieb=TRUE,'7'!N63,VLOOKUP(Auswahl!H6,Tabelle_Betriebskosten,6,FALSE))</f>
        <v>---</v>
      </c>
    </row>
    <row r="8" spans="1:64" ht="16.5" x14ac:dyDescent="0.25">
      <c r="A8" s="111" t="s">
        <v>157</v>
      </c>
      <c r="B8" s="69"/>
      <c r="C8" s="107" t="str">
        <f t="shared" si="2"/>
        <v>Nah- /Fernwärme (ern.)</v>
      </c>
      <c r="E8" s="111" t="s">
        <v>23</v>
      </c>
      <c r="F8" s="113">
        <v>9</v>
      </c>
      <c r="G8" s="114">
        <v>269</v>
      </c>
      <c r="H8" s="116">
        <f t="shared" si="3"/>
        <v>2.4209999999999998</v>
      </c>
      <c r="J8" s="132" t="str">
        <f t="shared" si="0"/>
        <v>Nah- /Fernwärme (n.ern.)</v>
      </c>
      <c r="K8" s="37" t="str">
        <f t="shared" si="1"/>
        <v>Nah- und Fernwärme (n.ern.)</v>
      </c>
      <c r="L8" s="114">
        <v>0</v>
      </c>
      <c r="M8" s="114">
        <v>0</v>
      </c>
      <c r="N8" s="233">
        <v>0</v>
      </c>
      <c r="O8" s="271" t="str">
        <f>IF(EA_Kategorie_Select=1,"---",IF(EA_Kategorie_Select=2,L8,(IF(EA_Kategorie_Select=3,M8,N8))+IF(EA_TSA_Status=TRUE,Basis_BK_TSA,0)+IF(EA_PV_Status=TRUE,Basis_BK_PV,0))/(IF(EA_WG=TRUE,1,(1+Basis_Steuersatz))))</f>
        <v>---</v>
      </c>
      <c r="Q8" s="111" t="s">
        <v>170</v>
      </c>
      <c r="R8" s="126">
        <v>1.51</v>
      </c>
      <c r="S8" s="115">
        <v>1.37</v>
      </c>
      <c r="T8" s="114">
        <v>310</v>
      </c>
      <c r="U8" s="260">
        <v>1.2999999999999999E-2</v>
      </c>
      <c r="V8" s="261">
        <f>0.15/IF(EA_WG=TRUE,1,1+W8)</f>
        <v>0.125</v>
      </c>
      <c r="W8" s="237">
        <f>Basis_Steuersatz</f>
        <v>0.2</v>
      </c>
      <c r="X8" s="294">
        <f>IF(Basis_mod_Energiekosten=TRUE,INDEX('7'!$O$51:$O$56,MATCH(Q8,'7'!$C$51:$C$56,0))/100,V8)</f>
        <v>0.125</v>
      </c>
      <c r="Z8" s="120" t="s">
        <v>216</v>
      </c>
      <c r="AA8" s="17">
        <f>IF(Auswahl!$E$2="Empfehlung Energie Tirol",AB8,IF(Auswahl!$E$2="VDI 2067",AC8,AD8))</f>
        <v>50</v>
      </c>
      <c r="AB8" s="113">
        <v>50</v>
      </c>
      <c r="AC8" s="113"/>
      <c r="AD8" s="114">
        <v>50</v>
      </c>
      <c r="AF8" s="206"/>
      <c r="AG8" s="214" t="str">
        <f>IF(EA_BGF&lt;Basis_BGF_Grenze,"","Aufstellungsbereich"&amp;IF(Basis_Lager=TRUE,""," (optional)"))</f>
        <v/>
      </c>
      <c r="AH8" s="214" t="str">
        <f>IF(EA_BGF&lt;Basis_BGF_Grenze,"","Aufstellungsbereich"&amp;IF(Basis_Lager=TRUE,""," (optional)"))</f>
        <v/>
      </c>
      <c r="AI8" s="200"/>
      <c r="AJ8" s="214" t="str">
        <f>IF(EA_BGF&lt;Basis_BGF_Grenze,"","Aufstellungsbereich"&amp;IF(Basis_Lager=TRUE,""," (optional)"))</f>
        <v/>
      </c>
      <c r="AK8" s="214" t="str">
        <f>IF(EA_BGF&lt;Basis_BGF_Grenze,"","Aufstellungsbereich"&amp;IF(Basis_Lager=TRUE,""," (optional)"))</f>
        <v/>
      </c>
      <c r="AL8" s="214" t="str">
        <f>IF(EA_BGF&lt;Basis_BGF_Grenze,"","Aufstellungsbereich"&amp;IF(Basis_Lager=TRUE,""," (optional)"))</f>
        <v/>
      </c>
      <c r="AM8" s="214" t="str">
        <f>IF(EA_BGF&lt;Basis_BGF_Grenze,"","Aufstellungsbereich"&amp;IF(Basis_Lager=TRUE,""," (optional)"))</f>
        <v/>
      </c>
      <c r="AN8" s="200"/>
      <c r="AO8" s="196"/>
      <c r="AP8" s="214" t="str">
        <f>IF(EA_BGF&lt;Basis_BGF_Grenze,"","Aufstellungsbereich"&amp;IF(Basis_Lager=TRUE,""," (optional)"))</f>
        <v/>
      </c>
      <c r="AQ8" s="214" t="str">
        <f>IF(EA_BGF&lt;Basis_BGF_Grenze,"","Aufstellungsbereich"&amp;IF(Basis_Lager=TRUE,""," (optional)"))</f>
        <v/>
      </c>
      <c r="AR8" s="214" t="str">
        <f>IF(EA_BGF&lt;Basis_BGF_Grenze,"","Aufstellungsbereich"&amp;IF(Basis_Lager=TRUE,""," (optional)"))</f>
        <v/>
      </c>
      <c r="AV8" s="37" t="str">
        <f>Auswahl!$G$7&amp;" | "&amp;Auswahl!$H$7</f>
        <v>4 | Wärmepumpe (Luft)</v>
      </c>
      <c r="AW8" s="253" t="str">
        <f>IF(OR(Auswahl!I7=FALSE,Auswahl!L7=TRUE),"",'4'!$K$36)</f>
        <v/>
      </c>
      <c r="AX8" s="253" t="str">
        <f>IF(OR(Auswahl!I7=FALSE,Auswahl!L7=TRUE),"",'4'!$K$40)</f>
        <v/>
      </c>
      <c r="AY8" s="253" t="str">
        <f>IF(OR(Auswahl!I7=FALSE,Auswahl!L7=TRUE),"",SUM('4'!$K$44:$K$45))</f>
        <v/>
      </c>
      <c r="AZ8" s="253" t="str">
        <f>IF(OR(Auswahl!I7=FALSE,Auswahl!L7=TRUE),"",Basis_Kosten_CO2*'7'!H21)</f>
        <v/>
      </c>
      <c r="BA8" s="313">
        <f>IF(Basis_mod_eAWZ=TRUE,'7'!H42,VLOOKUP(Auswahl!$H7,Tabelle_EAWZ_RH,8,FALSE))</f>
        <v>0</v>
      </c>
      <c r="BB8" s="313">
        <f>IF(Basis_mod_eAWZ=TRUE,'7'!N42,VLOOKUP(Auswahl!$H7,Tabelle_EAWZ_WW,8,FALSE))</f>
        <v>0</v>
      </c>
      <c r="BC8" s="253" t="str">
        <f>IF(Basis_mod_Betrieb=TRUE,'7'!N64,VLOOKUP(Auswahl!H7,Tabelle_Betriebskosten,6,FALSE))</f>
        <v>---</v>
      </c>
    </row>
    <row r="9" spans="1:64" ht="16.5" x14ac:dyDescent="0.25">
      <c r="A9" s="111" t="s">
        <v>158</v>
      </c>
      <c r="B9" s="69"/>
      <c r="C9" s="107" t="str">
        <f t="shared" si="2"/>
        <v>Nah- /Fernwärme (n.ern.)</v>
      </c>
      <c r="E9" s="111" t="s">
        <v>32</v>
      </c>
      <c r="F9" s="113">
        <v>10</v>
      </c>
      <c r="G9" s="114">
        <v>269</v>
      </c>
      <c r="H9" s="116">
        <f t="shared" si="3"/>
        <v>2.69</v>
      </c>
      <c r="J9" s="132" t="str">
        <f t="shared" si="0"/>
        <v>Öl-System</v>
      </c>
      <c r="K9" s="37" t="str">
        <f t="shared" si="1"/>
        <v>Heizöl</v>
      </c>
      <c r="L9" s="127">
        <f>L5</f>
        <v>75</v>
      </c>
      <c r="M9" s="127">
        <f>M5</f>
        <v>175</v>
      </c>
      <c r="N9" s="283">
        <f>N5</f>
        <v>260</v>
      </c>
      <c r="O9" s="271" t="str">
        <f>IF(EA_Kategorie_Select=1,"---",IF(EA_Kategorie_Select=2,L9,(IF(EA_Kategorie_Select=3,M9,N9))+IF(EA_TSA_Status=TRUE,Basis_BK_TSA,0)+IF(EA_PV_Status=TRUE,Basis_BK_PV,0))/(IF(EA_WG=TRUE,1,(1+Basis_Steuersatz))))</f>
        <v>---</v>
      </c>
      <c r="Q9" s="111" t="s">
        <v>11</v>
      </c>
      <c r="R9" s="126">
        <v>1.2</v>
      </c>
      <c r="S9" s="115">
        <v>1.2</v>
      </c>
      <c r="T9" s="114">
        <v>310</v>
      </c>
      <c r="U9" s="260">
        <v>2.7E-2</v>
      </c>
      <c r="V9" s="261">
        <f>0.082/IF(EA_WG=TRUE,1,1+W9)</f>
        <v>6.8333333333333343E-2</v>
      </c>
      <c r="W9" s="237">
        <f>Basis_Steuersatz</f>
        <v>0.2</v>
      </c>
      <c r="X9" s="294">
        <f>IF(Basis_mod_Energiekosten=TRUE,INDEX('7'!$O$51:$O$56,MATCH(Q9,'7'!$C$51:$C$56,0))/100,V9)</f>
        <v>6.8333333333333343E-2</v>
      </c>
      <c r="Z9" s="120" t="s">
        <v>215</v>
      </c>
      <c r="AA9" s="17">
        <f>IF(Auswahl!$E$2="Empfehlung Energie Tirol",AB9,IF(Auswahl!$E$2="VDI 2067",AC9,AD9))</f>
        <v>50</v>
      </c>
      <c r="AB9" s="113">
        <v>50</v>
      </c>
      <c r="AC9" s="113"/>
      <c r="AD9" s="114">
        <v>50</v>
      </c>
      <c r="AF9" s="206"/>
      <c r="AG9" s="200"/>
      <c r="AH9" s="200"/>
      <c r="AI9" s="200"/>
      <c r="AJ9" s="200"/>
      <c r="AK9" s="200"/>
      <c r="AL9" s="214" t="str">
        <f>IF(EA_BGF&lt;Basis_BGF_Grenze,"","Aufstellungsbereich Lager"&amp;IF(Basis_Lager=TRUE,""," (optional)"))</f>
        <v/>
      </c>
      <c r="AM9" s="214" t="str">
        <f>IF(EA_BGF&lt;Basis_BGF_Grenze,"","Aufstellungsbereich Lager"&amp;IF(Basis_Lager=TRUE,""," (optional)"))</f>
        <v/>
      </c>
      <c r="AN9" s="200"/>
      <c r="AO9" s="196"/>
      <c r="AP9" s="200"/>
      <c r="AQ9" s="200"/>
      <c r="AR9" s="207"/>
      <c r="AV9" s="37" t="str">
        <f>Auswahl!$G$8&amp;" | "&amp;Auswahl!$H$8</f>
        <v>5 | Wärmepumpe (Wasser)</v>
      </c>
      <c r="AW9" s="253" t="str">
        <f>IF(OR(Auswahl!I8=FALSE,Auswahl!L8=TRUE),"",'5'!$K$36)</f>
        <v/>
      </c>
      <c r="AX9" s="253" t="str">
        <f>IF(OR(Auswahl!I8=FALSE,Auswahl!L8=TRUE),"",'5'!$K$40)</f>
        <v/>
      </c>
      <c r="AY9" s="253" t="str">
        <f>IF(OR(Auswahl!I8=FALSE,Auswahl!L8=TRUE),"",SUM('5'!$K$44:$K$45))</f>
        <v/>
      </c>
      <c r="AZ9" s="253" t="str">
        <f>IF(OR(Auswahl!I8=FALSE,Auswahl!L8=TRUE),"",Basis_Kosten_CO2*'7'!H22)</f>
        <v/>
      </c>
      <c r="BA9" s="313">
        <f>IF(Basis_mod_eAWZ=TRUE,'7'!H43,VLOOKUP(Auswahl!$H8,Tabelle_EAWZ_RH,8,FALSE))</f>
        <v>0</v>
      </c>
      <c r="BB9" s="313">
        <f>IF(Basis_mod_eAWZ=TRUE,'7'!N43,VLOOKUP(Auswahl!$H8,Tabelle_EAWZ_WW,8,FALSE))</f>
        <v>0</v>
      </c>
      <c r="BC9" s="253" t="str">
        <f>IF(Basis_mod_Betrieb=TRUE,'7'!N65,VLOOKUP(Auswahl!H8,Tabelle_Betriebskosten,6,FALSE))</f>
        <v>---</v>
      </c>
    </row>
    <row r="10" spans="1:64" ht="16.5" x14ac:dyDescent="0.25">
      <c r="A10" s="111" t="s">
        <v>341</v>
      </c>
      <c r="B10" s="69"/>
      <c r="C10" s="107" t="str">
        <f t="shared" si="2"/>
        <v>Öl-System</v>
      </c>
      <c r="E10" s="111" t="s">
        <v>24</v>
      </c>
      <c r="F10" s="113">
        <v>43</v>
      </c>
      <c r="G10" s="114">
        <v>365</v>
      </c>
      <c r="H10" s="116">
        <f t="shared" si="3"/>
        <v>15.695</v>
      </c>
      <c r="J10" s="132" t="str">
        <f t="shared" si="0"/>
        <v>Pelletsanlage</v>
      </c>
      <c r="K10" s="37" t="str">
        <f t="shared" si="1"/>
        <v>Pellets</v>
      </c>
      <c r="L10" s="114">
        <v>330</v>
      </c>
      <c r="M10" s="114">
        <v>370</v>
      </c>
      <c r="N10" s="233">
        <v>500</v>
      </c>
      <c r="O10" s="271" t="str">
        <f>IF(EA_Kategorie_Select=1,"---",IF(EA_Kategorie_Select=2,L10,(IF(EA_Kategorie_Select=3,M10,N10))+IF(EA_TSA_Status=TRUE,Basis_BK_TSA,0)+IF(EA_PV_Status=TRUE,Basis_BK_PV,0))/(IF(EA_WG=TRUE,1,(1+Basis_Steuersatz))))</f>
        <v>---</v>
      </c>
      <c r="Q10" s="111" t="s">
        <v>5</v>
      </c>
      <c r="R10" s="126">
        <v>1.1299999999999999</v>
      </c>
      <c r="S10" s="115">
        <v>0.1</v>
      </c>
      <c r="T10" s="114">
        <v>17</v>
      </c>
      <c r="U10" s="118">
        <v>2.1000000000000001E-2</v>
      </c>
      <c r="V10" s="298">
        <f>0.048/IF(EA_WG=TRUE,1,1+W10)</f>
        <v>4.2477876106194697E-2</v>
      </c>
      <c r="W10" s="239">
        <v>0.13</v>
      </c>
      <c r="X10" s="294">
        <f>IF(Basis_mod_Energiekosten=TRUE,INDEX('7'!$O$51:$O$56,MATCH(Q10,'7'!$C$51:$C$56,0))/100,V10)</f>
        <v>4.2477876106194697E-2</v>
      </c>
      <c r="Z10" s="120" t="s">
        <v>322</v>
      </c>
      <c r="AA10" s="17">
        <f>IF(Auswahl!$E$2="Empfehlung Energie Tirol",AB10,IF(Auswahl!$E$2="VDI 2067",AC10,AD10))</f>
        <v>50</v>
      </c>
      <c r="AB10" s="113">
        <v>50</v>
      </c>
      <c r="AC10" s="113"/>
      <c r="AD10" s="114">
        <v>50</v>
      </c>
      <c r="AF10" s="208"/>
      <c r="AG10" s="8"/>
      <c r="AH10" s="8"/>
      <c r="AI10" s="8"/>
      <c r="AJ10" s="8"/>
      <c r="AK10" s="8"/>
      <c r="AL10" s="8"/>
      <c r="AM10" s="8"/>
      <c r="AN10" s="8"/>
      <c r="AO10" s="8"/>
      <c r="AP10" s="8"/>
      <c r="AQ10" s="8"/>
      <c r="AR10" s="209"/>
      <c r="AV10" s="37" t="str">
        <f>Auswahl!$G$9&amp;" | "&amp;Auswahl!$H$9</f>
        <v>6 | Wärmepumpe (Sole)</v>
      </c>
      <c r="AW10" s="253" t="str">
        <f>IF(OR(Auswahl!I9=FALSE,Auswahl!L9=TRUE),"",'6'!$K$36)</f>
        <v/>
      </c>
      <c r="AX10" s="253" t="str">
        <f>IF(OR(Auswahl!I9=FALSE,Auswahl!L9=TRUE),"",'6'!$K$40)</f>
        <v/>
      </c>
      <c r="AY10" s="253" t="str">
        <f>IF(OR(Auswahl!I9=FALSE,Auswahl!L9=TRUE),"",SUM('6'!$K$44:$K$45))</f>
        <v/>
      </c>
      <c r="AZ10" s="253" t="str">
        <f>IF(OR(Auswahl!I9=FALSE,Auswahl!L9=TRUE),"",Basis_Kosten_CO2*'7'!H23)</f>
        <v/>
      </c>
      <c r="BA10" s="313">
        <f>IF(Basis_mod_eAWZ=TRUE,'7'!H44,VLOOKUP(Auswahl!$H9,Tabelle_EAWZ_RH,8,FALSE))</f>
        <v>0</v>
      </c>
      <c r="BB10" s="313">
        <f>IF(Basis_mod_eAWZ=TRUE,'7'!N44,VLOOKUP(Auswahl!$H9,Tabelle_EAWZ_WW,8,FALSE))</f>
        <v>0</v>
      </c>
      <c r="BC10" s="253" t="str">
        <f>IF(Basis_mod_Betrieb=TRUE,'7'!N66,VLOOKUP(Auswahl!H9,Tabelle_Betriebskosten,6,FALSE))</f>
        <v>---</v>
      </c>
    </row>
    <row r="11" spans="1:64" ht="16.5" x14ac:dyDescent="0.25">
      <c r="A11" s="111" t="s">
        <v>146</v>
      </c>
      <c r="B11" s="69"/>
      <c r="C11" s="107" t="str">
        <f t="shared" si="2"/>
        <v>Pelletsanlage</v>
      </c>
      <c r="E11" s="111" t="s">
        <v>33</v>
      </c>
      <c r="F11" s="113">
        <v>62</v>
      </c>
      <c r="G11" s="114">
        <v>365</v>
      </c>
      <c r="H11" s="116">
        <f t="shared" si="3"/>
        <v>22.63</v>
      </c>
      <c r="J11" s="132" t="str">
        <f t="shared" si="0"/>
        <v>Elektro-Boiler / Durchlauferhitzer</v>
      </c>
      <c r="K11" s="37" t="str">
        <f t="shared" si="1"/>
        <v>Strom</v>
      </c>
      <c r="L11" s="4"/>
      <c r="M11" s="4"/>
      <c r="N11" s="234"/>
      <c r="O11" s="322"/>
      <c r="Q11" s="111" t="s">
        <v>6</v>
      </c>
      <c r="R11" s="126">
        <v>1.63</v>
      </c>
      <c r="S11" s="115">
        <v>1.02</v>
      </c>
      <c r="T11" s="114">
        <v>227</v>
      </c>
      <c r="U11" s="118">
        <v>2.4E-2</v>
      </c>
      <c r="V11" s="298">
        <f>0.195/IF(EA_WG=TRUE,1,1+W11)</f>
        <v>0.16250000000000001</v>
      </c>
      <c r="W11" s="237">
        <f>Basis_Steuersatz</f>
        <v>0.2</v>
      </c>
      <c r="X11" s="294">
        <f>IF(Basis_mod_Energiekosten=TRUE,INDEX('7'!$O$51:$O$56,MATCH(Q11,'7'!$C$51:$C$56,0))/100,V11)</f>
        <v>0.16250000000000001</v>
      </c>
      <c r="Z11" s="120" t="s">
        <v>45</v>
      </c>
      <c r="AA11" s="17">
        <f>IF(Auswahl!$E$2="Empfehlung Energie Tirol",AB11,IF(Auswahl!$E$2="VDI 2067",AC11,AD11))</f>
        <v>30</v>
      </c>
      <c r="AB11" s="113">
        <v>15</v>
      </c>
      <c r="AC11" s="113"/>
      <c r="AD11" s="114">
        <v>30</v>
      </c>
      <c r="AF11" s="206"/>
      <c r="AG11" s="200" t="s">
        <v>63</v>
      </c>
      <c r="AH11" s="200" t="s">
        <v>58</v>
      </c>
      <c r="AI11" s="200"/>
      <c r="AJ11" s="200" t="s">
        <v>58</v>
      </c>
      <c r="AK11" s="200" t="s">
        <v>58</v>
      </c>
      <c r="AL11" s="200" t="s">
        <v>63</v>
      </c>
      <c r="AM11" s="200" t="s">
        <v>63</v>
      </c>
      <c r="AN11" s="200" t="s">
        <v>67</v>
      </c>
      <c r="AO11" s="196"/>
      <c r="AP11" s="200" t="s">
        <v>357</v>
      </c>
      <c r="AQ11" s="200" t="s">
        <v>62</v>
      </c>
      <c r="AR11" s="207" t="s">
        <v>60</v>
      </c>
    </row>
    <row r="12" spans="1:64" ht="17.25" thickBot="1" x14ac:dyDescent="0.3">
      <c r="A12" s="111" t="s">
        <v>147</v>
      </c>
      <c r="B12" s="69"/>
      <c r="C12" s="111" t="s">
        <v>141</v>
      </c>
      <c r="E12" s="111" t="s">
        <v>34</v>
      </c>
      <c r="F12" s="113">
        <v>69</v>
      </c>
      <c r="G12" s="114">
        <v>365</v>
      </c>
      <c r="H12" s="116">
        <f t="shared" si="3"/>
        <v>25.184999999999999</v>
      </c>
      <c r="J12" s="132" t="str">
        <f t="shared" si="0"/>
        <v>Stückholzheizung</v>
      </c>
      <c r="K12" s="37" t="str">
        <f t="shared" si="1"/>
        <v>Stückholz</v>
      </c>
      <c r="L12" s="4"/>
      <c r="M12" s="4"/>
      <c r="N12" s="234"/>
      <c r="O12" s="322"/>
      <c r="Q12" s="112" t="s">
        <v>154</v>
      </c>
      <c r="R12" s="126">
        <v>1.1299999999999999</v>
      </c>
      <c r="S12" s="115">
        <v>0.1</v>
      </c>
      <c r="T12" s="114">
        <v>17</v>
      </c>
      <c r="U12" s="257"/>
      <c r="V12" s="258"/>
      <c r="W12" s="259"/>
      <c r="X12" s="295"/>
      <c r="Z12" s="120" t="s">
        <v>61</v>
      </c>
      <c r="AA12" s="17">
        <f>IF(Auswahl!$E$2="Empfehlung Energie Tirol",AB12,IF(Auswahl!$E$2="VDI 2067",AC12,AD12))</f>
        <v>50</v>
      </c>
      <c r="AB12" s="113">
        <v>50</v>
      </c>
      <c r="AC12" s="113"/>
      <c r="AD12" s="114">
        <v>50</v>
      </c>
      <c r="AF12" s="206"/>
      <c r="AG12" s="200" t="s">
        <v>57</v>
      </c>
      <c r="AH12" s="200" t="s">
        <v>59</v>
      </c>
      <c r="AI12" s="200"/>
      <c r="AJ12" s="200"/>
      <c r="AK12" s="200"/>
      <c r="AL12" s="200" t="s">
        <v>57</v>
      </c>
      <c r="AM12" s="200" t="s">
        <v>57</v>
      </c>
      <c r="AN12" s="200" t="s">
        <v>68</v>
      </c>
      <c r="AO12" s="196"/>
      <c r="AP12" s="200" t="s">
        <v>61</v>
      </c>
      <c r="AQ12" s="200"/>
      <c r="AR12" s="207" t="s">
        <v>61</v>
      </c>
    </row>
    <row r="13" spans="1:64" ht="17.25" thickBot="1" x14ac:dyDescent="0.3">
      <c r="A13" s="111" t="s">
        <v>145</v>
      </c>
      <c r="B13" s="69"/>
      <c r="C13" s="107" t="str">
        <f>A13</f>
        <v>Stückholzheizung</v>
      </c>
      <c r="E13" s="111" t="s">
        <v>25</v>
      </c>
      <c r="F13" s="113">
        <v>28</v>
      </c>
      <c r="G13" s="114">
        <v>365</v>
      </c>
      <c r="H13" s="116">
        <f t="shared" si="3"/>
        <v>10.220000000000001</v>
      </c>
      <c r="J13" s="132" t="str">
        <f t="shared" si="0"/>
        <v>Wärmepumpe (Wasser)</v>
      </c>
      <c r="K13" s="37" t="str">
        <f>Q11</f>
        <v>Strom</v>
      </c>
      <c r="L13" s="114">
        <v>50</v>
      </c>
      <c r="M13" s="114">
        <v>150</v>
      </c>
      <c r="N13" s="233">
        <v>150</v>
      </c>
      <c r="O13" s="271" t="str">
        <f>IF(EA_Kategorie_Select=1,"---",IF(EA_Kategorie_Select=2,L13,(IF(EA_Kategorie_Select=3,M13,N13))+IF(EA_TSA_Status=TRUE,Basis_BK_TSA,0)+IF(EA_PV_Status=TRUE,Basis_BK_PV,0))/(IF(EA_WG=TRUE,1,(1+Basis_Steuersatz))))</f>
        <v>---</v>
      </c>
      <c r="Q13" s="136" t="s">
        <v>171</v>
      </c>
      <c r="R13" s="137">
        <f>R11</f>
        <v>1.63</v>
      </c>
      <c r="S13" s="137">
        <f>S11</f>
        <v>1.02</v>
      </c>
      <c r="T13" s="135">
        <f>T11</f>
        <v>227</v>
      </c>
      <c r="U13" s="138">
        <f>U11</f>
        <v>2.4E-2</v>
      </c>
      <c r="V13" s="299">
        <f>0.05/IF(EA_WG=TRUE,1,1+W13)</f>
        <v>4.1666666666666671E-2</v>
      </c>
      <c r="W13" s="238">
        <f>Basis_Steuersatz</f>
        <v>0.2</v>
      </c>
      <c r="X13" s="297">
        <f>IF(Basis_mod_Energiekosten=TRUE,INDEX('7'!$O$51:$O$56,MATCH(Q13,'7'!$C$51:$C$56,0))/100,V13)</f>
        <v>4.1666666666666671E-2</v>
      </c>
      <c r="Z13" s="120" t="s">
        <v>357</v>
      </c>
      <c r="AA13" s="17">
        <f>IF(Auswahl!$E$2="Empfehlung Energie Tirol",AB13,IF(Auswahl!$E$2="VDI 2067",AC13,AD13))</f>
        <v>50</v>
      </c>
      <c r="AB13" s="113">
        <v>50</v>
      </c>
      <c r="AC13" s="113"/>
      <c r="AD13" s="114">
        <v>50</v>
      </c>
      <c r="AF13" s="206"/>
      <c r="AG13" s="200" t="s">
        <v>218</v>
      </c>
      <c r="AH13" s="200" t="s">
        <v>63</v>
      </c>
      <c r="AI13" s="200"/>
      <c r="AJ13" s="200"/>
      <c r="AK13" s="200"/>
      <c r="AL13" s="200" t="s">
        <v>218</v>
      </c>
      <c r="AM13" s="200" t="s">
        <v>218</v>
      </c>
      <c r="AN13" s="200"/>
      <c r="AO13" s="196"/>
      <c r="AP13" s="200"/>
      <c r="AQ13" s="200"/>
      <c r="AR13" s="207"/>
    </row>
    <row r="14" spans="1:64" ht="16.5" x14ac:dyDescent="0.3">
      <c r="A14" s="111" t="s">
        <v>148</v>
      </c>
      <c r="B14" s="69"/>
      <c r="C14" s="107" t="str">
        <f>A14</f>
        <v>Wärmepumpe (Wasser)</v>
      </c>
      <c r="E14" s="111" t="s">
        <v>35</v>
      </c>
      <c r="F14" s="113">
        <v>32</v>
      </c>
      <c r="G14" s="114">
        <v>365</v>
      </c>
      <c r="H14" s="116">
        <f t="shared" si="3"/>
        <v>11.68</v>
      </c>
      <c r="J14" s="132" t="str">
        <f t="shared" si="0"/>
        <v>Wärmepumpe (Luft)</v>
      </c>
      <c r="K14" s="37" t="str">
        <f>Q11</f>
        <v>Strom</v>
      </c>
      <c r="L14" s="114">
        <v>40</v>
      </c>
      <c r="M14" s="114">
        <v>150</v>
      </c>
      <c r="N14" s="233">
        <v>150</v>
      </c>
      <c r="O14" s="271" t="str">
        <f>IF(EA_Kategorie_Select=1,"---",IF(EA_Kategorie_Select=2,L14,(IF(EA_Kategorie_Select=3,M14,N14))+IF(EA_TSA_Status=TRUE,Basis_BK_TSA,0)+IF(EA_PV_Status=TRUE,Basis_BK_PV,0))/(IF(EA_WG=TRUE,1,(1+Basis_Steuersatz))))</f>
        <v>---</v>
      </c>
      <c r="Q14" s="92" t="s">
        <v>81</v>
      </c>
      <c r="R14" s="471" t="s">
        <v>176</v>
      </c>
      <c r="S14" s="472"/>
      <c r="T14" s="473"/>
      <c r="U14" s="471" t="s">
        <v>175</v>
      </c>
      <c r="V14" s="472"/>
      <c r="W14" s="229"/>
      <c r="X14" s="129"/>
      <c r="Z14" s="120" t="s">
        <v>70</v>
      </c>
      <c r="AA14" s="17">
        <f>IF(Auswahl!$E$2="Empfehlung Energie Tirol",AB14,IF(Auswahl!$E$2="VDI 2067",AC14,AD14))</f>
        <v>30</v>
      </c>
      <c r="AB14" s="113">
        <v>15</v>
      </c>
      <c r="AC14" s="113"/>
      <c r="AD14" s="114">
        <v>30</v>
      </c>
      <c r="AF14" s="206"/>
      <c r="AG14" s="200" t="s">
        <v>64</v>
      </c>
      <c r="AH14" s="200" t="s">
        <v>57</v>
      </c>
      <c r="AI14" s="200"/>
      <c r="AJ14" s="200"/>
      <c r="AK14" s="200"/>
      <c r="AL14" s="200"/>
      <c r="AM14" s="200"/>
      <c r="AN14" s="200"/>
      <c r="AO14" s="196"/>
      <c r="AP14" s="200"/>
      <c r="AQ14" s="200"/>
      <c r="AR14" s="207"/>
    </row>
    <row r="15" spans="1:64" ht="17.25" thickBot="1" x14ac:dyDescent="0.3">
      <c r="A15" s="111" t="s">
        <v>143</v>
      </c>
      <c r="B15" s="69"/>
      <c r="C15" s="107" t="str">
        <f>A15</f>
        <v>Wärmepumpe (Luft)</v>
      </c>
      <c r="E15" s="111" t="s">
        <v>26</v>
      </c>
      <c r="F15" s="113">
        <v>130</v>
      </c>
      <c r="G15" s="114">
        <v>365</v>
      </c>
      <c r="H15" s="116">
        <f t="shared" si="3"/>
        <v>47.45</v>
      </c>
      <c r="J15" s="132" t="str">
        <f t="shared" si="0"/>
        <v>Wärmepumpe (Sole)</v>
      </c>
      <c r="K15" s="37" t="str">
        <f>Q11</f>
        <v>Strom</v>
      </c>
      <c r="L15" s="127">
        <f>L14</f>
        <v>40</v>
      </c>
      <c r="M15" s="127">
        <f>M14</f>
        <v>150</v>
      </c>
      <c r="N15" s="283">
        <f>N14</f>
        <v>150</v>
      </c>
      <c r="O15" s="271" t="str">
        <f>IF(EA_Kategorie_Select=1,"---",IF(EA_Kategorie_Select=2,L15,(IF(EA_Kategorie_Select=3,M15,N15))+IF(EA_TSA_Status=TRUE,Basis_BK_TSA,0)+IF(EA_PV_Status=TRUE,Basis_BK_PV,0))/(IF(EA_WG=TRUE,1,(1+Basis_Steuersatz))))</f>
        <v>---</v>
      </c>
      <c r="Z15" s="120" t="s">
        <v>59</v>
      </c>
      <c r="AA15" s="17">
        <f>IF(Auswahl!$E$2="Empfehlung Energie Tirol",AB15,IF(Auswahl!$E$2="VDI 2067",AC15,AD15))</f>
        <v>50</v>
      </c>
      <c r="AB15" s="113">
        <v>50</v>
      </c>
      <c r="AC15" s="113"/>
      <c r="AD15" s="114">
        <v>50</v>
      </c>
      <c r="AF15" s="210"/>
      <c r="AG15" s="211" t="s">
        <v>65</v>
      </c>
      <c r="AH15" s="211" t="s">
        <v>218</v>
      </c>
      <c r="AI15" s="211"/>
      <c r="AJ15" s="211"/>
      <c r="AK15" s="211"/>
      <c r="AL15" s="211"/>
      <c r="AM15" s="211"/>
      <c r="AN15" s="211"/>
      <c r="AO15" s="212"/>
      <c r="AP15" s="211"/>
      <c r="AQ15" s="211"/>
      <c r="AR15" s="213"/>
      <c r="AV15" s="289" t="s">
        <v>188</v>
      </c>
      <c r="AW15" s="291" t="s">
        <v>242</v>
      </c>
      <c r="AX15" s="291" t="s">
        <v>241</v>
      </c>
      <c r="AY15" s="291" t="s">
        <v>243</v>
      </c>
      <c r="AZ15" s="291" t="s">
        <v>244</v>
      </c>
      <c r="BA15" s="291" t="s">
        <v>245</v>
      </c>
      <c r="BB15" s="291" t="s">
        <v>20</v>
      </c>
      <c r="BC15" s="291" t="s">
        <v>323</v>
      </c>
      <c r="BE15" s="289" t="s">
        <v>113</v>
      </c>
      <c r="BF15" s="291" t="s">
        <v>242</v>
      </c>
      <c r="BG15" s="291" t="s">
        <v>241</v>
      </c>
      <c r="BH15" s="291" t="s">
        <v>243</v>
      </c>
      <c r="BI15" s="291" t="s">
        <v>244</v>
      </c>
      <c r="BJ15" s="291" t="s">
        <v>245</v>
      </c>
      <c r="BK15" s="291" t="s">
        <v>20</v>
      </c>
      <c r="BL15" s="291" t="s">
        <v>323</v>
      </c>
    </row>
    <row r="16" spans="1:64" ht="17.25" thickBot="1" x14ac:dyDescent="0.3">
      <c r="A16" s="112" t="s">
        <v>142</v>
      </c>
      <c r="B16" s="69"/>
      <c r="C16" s="108" t="str">
        <f>A16</f>
        <v>Wärmepumpe (Sole)</v>
      </c>
      <c r="E16" s="111" t="s">
        <v>27</v>
      </c>
      <c r="F16" s="113">
        <v>16</v>
      </c>
      <c r="G16" s="114">
        <v>317</v>
      </c>
      <c r="H16" s="116">
        <f t="shared" si="3"/>
        <v>5.0720000000000001</v>
      </c>
      <c r="J16" s="133" t="str">
        <f>C12</f>
        <v>Stromdirektheizung</v>
      </c>
      <c r="K16" s="134" t="str">
        <f>Q11</f>
        <v>Strom</v>
      </c>
      <c r="L16" s="135">
        <v>0</v>
      </c>
      <c r="M16" s="135">
        <v>0</v>
      </c>
      <c r="N16" s="284">
        <v>0</v>
      </c>
      <c r="O16" s="321" t="str">
        <f>IF(EA_Kategorie_Select=1,"---",IF(EA_Kategorie_Select=2,L16,(IF(EA_Kategorie_Select=3,M16,N16))+IF(EA_TSA_Status=TRUE,Basis_BK_TSA,0)+IF(EA_PV_Status=TRUE,Basis_BK_PV,0))/(IF(EA_WG=TRUE,1,(1+Basis_Steuersatz))))</f>
        <v>---</v>
      </c>
      <c r="Z16" s="120" t="s">
        <v>65</v>
      </c>
      <c r="AA16" s="17">
        <f>IF(Auswahl!$E$2="Empfehlung Energie Tirol",AB16,IF(Auswahl!$E$2="VDI 2067",AC16,AD16))</f>
        <v>50</v>
      </c>
      <c r="AB16" s="113">
        <v>50</v>
      </c>
      <c r="AC16" s="113"/>
      <c r="AD16" s="114">
        <v>50</v>
      </c>
      <c r="AF16" s="201"/>
      <c r="AG16" s="201"/>
      <c r="AH16" s="201"/>
      <c r="AI16" s="201"/>
      <c r="AJ16" s="201"/>
      <c r="AK16" s="201"/>
      <c r="AL16" s="201"/>
      <c r="AM16" s="201"/>
      <c r="AN16" s="201"/>
      <c r="AO16" s="201"/>
      <c r="AP16" s="201"/>
      <c r="AQ16" s="201"/>
      <c r="AR16" s="201"/>
      <c r="AV16" s="309" t="s">
        <v>56</v>
      </c>
      <c r="AW16" s="310">
        <v>157.56</v>
      </c>
      <c r="AX16" s="310">
        <v>206.36</v>
      </c>
      <c r="AY16" s="310">
        <v>672.51</v>
      </c>
      <c r="AZ16" s="310">
        <v>1417.03</v>
      </c>
      <c r="BA16" s="310">
        <v>4273.12</v>
      </c>
      <c r="BB16" s="311">
        <f>EA_BGF</f>
        <v>0</v>
      </c>
      <c r="BC16" s="309"/>
      <c r="BE16" s="309" t="s">
        <v>56</v>
      </c>
      <c r="BF16" s="310">
        <v>157.56</v>
      </c>
      <c r="BG16" s="310">
        <v>206.36</v>
      </c>
      <c r="BH16" s="310">
        <v>672.51</v>
      </c>
      <c r="BI16" s="310">
        <v>1417.03</v>
      </c>
      <c r="BJ16" s="310">
        <v>4273.12</v>
      </c>
      <c r="BK16" s="311">
        <f>EA_BGF</f>
        <v>0</v>
      </c>
      <c r="BL16" s="309"/>
    </row>
    <row r="17" spans="1:64" ht="17.25" thickBot="1" x14ac:dyDescent="0.35">
      <c r="B17" s="69"/>
      <c r="E17" s="117" t="s">
        <v>49</v>
      </c>
      <c r="F17" s="91"/>
      <c r="G17" s="4"/>
      <c r="H17" s="4"/>
      <c r="J17" s="92" t="s">
        <v>81</v>
      </c>
      <c r="K17" s="129"/>
      <c r="L17" s="474" t="s">
        <v>177</v>
      </c>
      <c r="M17" s="475"/>
      <c r="N17" s="475"/>
      <c r="O17" s="235"/>
      <c r="V17" s="140"/>
      <c r="W17" s="140"/>
      <c r="Z17" s="120" t="s">
        <v>71</v>
      </c>
      <c r="AA17" s="17">
        <f>IF(Auswahl!$E$2="Empfehlung Energie Tirol",AB17,IF(Auswahl!$E$2="VDI 2067",AC17,AD17))</f>
        <v>30</v>
      </c>
      <c r="AB17" s="113">
        <v>15</v>
      </c>
      <c r="AC17" s="113"/>
      <c r="AD17" s="114">
        <v>30</v>
      </c>
      <c r="AV17" s="327" t="str">
        <f>$A$5</f>
        <v>Flüssiggasanlage</v>
      </c>
      <c r="AW17" s="315">
        <f>AW18</f>
        <v>1.06</v>
      </c>
      <c r="AX17" s="315">
        <f>AX18</f>
        <v>1.02</v>
      </c>
      <c r="AY17" s="315">
        <f>AY18</f>
        <v>1.03</v>
      </c>
      <c r="AZ17" s="315">
        <f>AZ18</f>
        <v>1</v>
      </c>
      <c r="BA17" s="315">
        <f>BA18</f>
        <v>1.03</v>
      </c>
      <c r="BB17" s="312" t="str">
        <f>IF(OR(EA_WG=FALSE,$BB$16&gt;=Basis_BGF_Grenze),"---",IF(EA_BGF&lt;=$AW$16,AW17,(INDEX(AW17:BA17,Tabellen!$AX$38)-INDEX(AW17:BA17,Tabellen!$AX$38-1))/(INDEX($AW$16:$BA$16,Tabellen!$AX$38)-INDEX($AW$16:$BA$16,Tabellen!$AX$38-1))*$BB$16+INDEX(AW17:BA17,Tabellen!$AX$38)-INDEX($AW$16:$BA$16,Tabellen!$AX$38)*(INDEX(AW17:BA17,Tabellen!$AX$38)-INDEX(AW17:BA17,Tabellen!$AX$38-1))/(INDEX($AW$16:$BA$16,Tabellen!$AX$38)-INDEX($AW$16:$BA$16,Tabellen!$AX$38-1))))</f>
        <v>---</v>
      </c>
      <c r="BC17" s="296" t="str">
        <f t="shared" ref="BC17:BC26" si="4">IF(BB17="---","---",BB17*$AW$28)</f>
        <v>---</v>
      </c>
      <c r="BE17" s="327" t="str">
        <f>$A$5</f>
        <v>Flüssiggasanlage</v>
      </c>
      <c r="BF17" s="315">
        <f>BF18</f>
        <v>2.2000000000000002</v>
      </c>
      <c r="BG17" s="315">
        <f>BG18</f>
        <v>2.09</v>
      </c>
      <c r="BH17" s="315">
        <f>BH18</f>
        <v>2.54</v>
      </c>
      <c r="BI17" s="315">
        <f>BI18</f>
        <v>2.27</v>
      </c>
      <c r="BJ17" s="315">
        <f>BJ18</f>
        <v>2.1</v>
      </c>
      <c r="BK17" s="312" t="str">
        <f>IF(OR(EA_WG=FALSE,Tabellen!$BB$16&gt;=Basis_BGF_Grenze),"---",IF(EA_BGF&lt;=Tabellen!$AW$16,BF17,(INDEX(BF17:BJ17,Tabellen!$AX$38)-INDEX(BF17:BJ17,Tabellen!$AX$38-1))/(INDEX(Tabellen!$AW$16:$BA$16,Tabellen!$AX$38)-INDEX(Tabellen!$AW$16:$BA$16,Tabellen!$AX$38-1))*Tabellen!$BB$16+INDEX(BF17:BJ17,Tabellen!$AX$38)-INDEX(Tabellen!$AW$16:$BA$16,Tabellen!$AX$38)*(INDEX(BF17:BJ17,Tabellen!$AX$38)-INDEX(BF17:BJ17,Tabellen!$AX$38-1))/(INDEX(Tabellen!$AW$16:$BA$16,Tabellen!$AX$38)-INDEX(Tabellen!$AW$16:$BA$16,Tabellen!$AX$38-1))))</f>
        <v>---</v>
      </c>
      <c r="BL17" s="317" t="str">
        <f t="shared" ref="BL17:BL25" si="5">IF(BK17="---","---",IF(Basis_WW_dezentral=TRUE,$BK$26,BK17*$BF$28*BL48))</f>
        <v>---</v>
      </c>
    </row>
    <row r="18" spans="1:64" ht="16.5" x14ac:dyDescent="0.3">
      <c r="B18" s="69"/>
      <c r="E18" s="92" t="s">
        <v>81</v>
      </c>
      <c r="F18" s="468" t="s">
        <v>17</v>
      </c>
      <c r="G18" s="469"/>
      <c r="H18" s="470"/>
      <c r="Z18" s="120" t="s">
        <v>62</v>
      </c>
      <c r="AA18" s="17">
        <f>IF(Auswahl!$E$2="Empfehlung Energie Tirol",AB18,IF(Auswahl!$E$2="VDI 2067",AC18,AD18))</f>
        <v>50</v>
      </c>
      <c r="AB18" s="113">
        <v>50</v>
      </c>
      <c r="AC18" s="113"/>
      <c r="AD18" s="114">
        <v>50</v>
      </c>
      <c r="AV18" s="328" t="str">
        <f>$A$6</f>
        <v>Gas-System</v>
      </c>
      <c r="AW18" s="288">
        <v>1.06</v>
      </c>
      <c r="AX18" s="288">
        <v>1.02</v>
      </c>
      <c r="AY18" s="288">
        <v>1.03</v>
      </c>
      <c r="AZ18" s="288">
        <v>1</v>
      </c>
      <c r="BA18" s="288">
        <v>1.03</v>
      </c>
      <c r="BB18" s="293" t="str">
        <f>IF(OR(EA_WG=FALSE,$BB$16&gt;=Basis_BGF_Grenze),"---",IF(EA_BGF&lt;=$AW$16,AW18,(INDEX(AW18:BA18,Tabellen!$AX$38)-INDEX(AW18:BA18,Tabellen!$AX$38-1))/(INDEX($AW$16:$BA$16,Tabellen!$AX$38)-INDEX($AW$16:$BA$16,Tabellen!$AX$38-1))*$BB$16+INDEX(AW18:BA18,Tabellen!$AX$38)-INDEX($AW$16:$BA$16,Tabellen!$AX$38)*(INDEX(AW18:BA18,Tabellen!$AX$38)-INDEX(AW18:BA18,Tabellen!$AX$38-1))/(INDEX($AW$16:$BA$16,Tabellen!$AX$38)-INDEX($AW$16:$BA$16,Tabellen!$AX$38-1))))</f>
        <v>---</v>
      </c>
      <c r="BC18" s="294" t="str">
        <f t="shared" si="4"/>
        <v>---</v>
      </c>
      <c r="BE18" s="328" t="str">
        <f>$A$6</f>
        <v>Gas-System</v>
      </c>
      <c r="BF18" s="288">
        <v>2.2000000000000002</v>
      </c>
      <c r="BG18" s="288">
        <v>2.09</v>
      </c>
      <c r="BH18" s="288">
        <v>2.54</v>
      </c>
      <c r="BI18" s="288">
        <v>2.27</v>
      </c>
      <c r="BJ18" s="288">
        <v>2.1</v>
      </c>
      <c r="BK18" s="293" t="str">
        <f>IF(OR(EA_WG=FALSE,Tabellen!$BB$16&gt;=Basis_BGF_Grenze),"---",IF(EA_BGF&lt;=Tabellen!$AW$16,BF18,(INDEX(BF18:BJ18,Tabellen!$AX$38)-INDEX(BF18:BJ18,Tabellen!$AX$38-1))/(INDEX(Tabellen!$AW$16:$BA$16,Tabellen!$AX$38)-INDEX(Tabellen!$AW$16:$BA$16,Tabellen!$AX$38-1))*Tabellen!$BB$16+INDEX(BF18:BJ18,Tabellen!$AX$38)-INDEX(Tabellen!$AW$16:$BA$16,Tabellen!$AX$38)*(INDEX(BF18:BJ18,Tabellen!$AX$38)-INDEX(BF18:BJ18,Tabellen!$AX$38-1))/(INDEX(Tabellen!$AW$16:$BA$16,Tabellen!$AX$38)-INDEX(Tabellen!$AW$16:$BA$16,Tabellen!$AX$38-1))))</f>
        <v>---</v>
      </c>
      <c r="BL18" s="294" t="str">
        <f t="shared" si="5"/>
        <v>---</v>
      </c>
    </row>
    <row r="19" spans="1:64" ht="16.5" x14ac:dyDescent="0.25">
      <c r="B19" s="69"/>
      <c r="Z19" s="120" t="s">
        <v>64</v>
      </c>
      <c r="AA19" s="17">
        <f>IF(Auswahl!$E$2="Empfehlung Energie Tirol",AB19,IF(Auswahl!$E$2="VDI 2067",AC19,AD19))</f>
        <v>30</v>
      </c>
      <c r="AB19" s="113">
        <v>15</v>
      </c>
      <c r="AC19" s="113"/>
      <c r="AD19" s="114">
        <v>30</v>
      </c>
      <c r="AV19" s="328" t="str">
        <f>$A$8</f>
        <v>Nah- /Fernwärme (ern.)</v>
      </c>
      <c r="AW19" s="288">
        <f>AW20</f>
        <v>1.04</v>
      </c>
      <c r="AX19" s="288">
        <f>AX20</f>
        <v>0.99</v>
      </c>
      <c r="AY19" s="288">
        <v>1</v>
      </c>
      <c r="AZ19" s="288">
        <v>0.97</v>
      </c>
      <c r="BA19" s="288">
        <v>1</v>
      </c>
      <c r="BB19" s="293" t="str">
        <f>IF(OR(EA_WG=FALSE,$BB$16&gt;=Basis_BGF_Grenze),"---",IF(EA_BGF&lt;=$AW$16,AW19,(INDEX(AW19:BA19,Tabellen!$AX$38)-INDEX(AW19:BA19,Tabellen!$AX$38-1))/(INDEX($AW$16:$BA$16,Tabellen!$AX$38)-INDEX($AW$16:$BA$16,Tabellen!$AX$38-1))*$BB$16+INDEX(AW19:BA19,Tabellen!$AX$38)-INDEX($AW$16:$BA$16,Tabellen!$AX$38)*(INDEX(AW19:BA19,Tabellen!$AX$38)-INDEX(AW19:BA19,Tabellen!$AX$38-1))/(INDEX($AW$16:$BA$16,Tabellen!$AX$38)-INDEX($AW$16:$BA$16,Tabellen!$AX$38-1))))</f>
        <v>---</v>
      </c>
      <c r="BC19" s="294" t="str">
        <f t="shared" si="4"/>
        <v>---</v>
      </c>
      <c r="BE19" s="328" t="str">
        <f>$A$8</f>
        <v>Nah- /Fernwärme (ern.)</v>
      </c>
      <c r="BF19" s="288">
        <v>2.09</v>
      </c>
      <c r="BG19" s="288">
        <v>1.98</v>
      </c>
      <c r="BH19" s="288">
        <v>2.46</v>
      </c>
      <c r="BI19" s="288">
        <v>2.2200000000000002</v>
      </c>
      <c r="BJ19" s="288">
        <v>2.0699999999999998</v>
      </c>
      <c r="BK19" s="293" t="str">
        <f>IF(OR(EA_WG=FALSE,Tabellen!$BB$16&gt;=Basis_BGF_Grenze),"---",IF(EA_BGF&lt;=Tabellen!$AW$16,BF19,(INDEX(BF19:BJ19,Tabellen!$AX$38)-INDEX(BF19:BJ19,Tabellen!$AX$38-1))/(INDEX(Tabellen!$AW$16:$BA$16,Tabellen!$AX$38)-INDEX(Tabellen!$AW$16:$BA$16,Tabellen!$AX$38-1))*Tabellen!$BB$16+INDEX(BF19:BJ19,Tabellen!$AX$38)-INDEX(Tabellen!$AW$16:$BA$16,Tabellen!$AX$38)*(INDEX(BF19:BJ19,Tabellen!$AX$38)-INDEX(BF19:BJ19,Tabellen!$AX$38-1))/(INDEX(Tabellen!$AW$16:$BA$16,Tabellen!$AX$38)-INDEX(Tabellen!$AW$16:$BA$16,Tabellen!$AX$38-1))))</f>
        <v>---</v>
      </c>
      <c r="BL19" s="294" t="str">
        <f t="shared" si="5"/>
        <v>---</v>
      </c>
    </row>
    <row r="20" spans="1:64" ht="17.25" thickBot="1" x14ac:dyDescent="0.3">
      <c r="B20" s="69"/>
      <c r="Z20" s="120" t="s">
        <v>60</v>
      </c>
      <c r="AA20" s="17">
        <f>IF(Auswahl!$E$2="Empfehlung Energie Tirol",AB20,IF(Auswahl!$E$2="VDI 2067",AC20,AD20))</f>
        <v>30</v>
      </c>
      <c r="AB20" s="113">
        <v>50</v>
      </c>
      <c r="AC20" s="113"/>
      <c r="AD20" s="114">
        <v>30</v>
      </c>
      <c r="AV20" s="328" t="str">
        <f>$A$9</f>
        <v>Nah- /Fernwärme (n.ern.)</v>
      </c>
      <c r="AW20" s="288">
        <v>1.04</v>
      </c>
      <c r="AX20" s="288">
        <v>0.99</v>
      </c>
      <c r="AY20" s="288">
        <v>1</v>
      </c>
      <c r="AZ20" s="288">
        <v>0.97</v>
      </c>
      <c r="BA20" s="288">
        <v>1</v>
      </c>
      <c r="BB20" s="293" t="str">
        <f>IF(OR(EA_WG=FALSE,$BB$16&gt;=Basis_BGF_Grenze),"---",IF(EA_BGF&lt;=$AW$16,AW20,(INDEX(AW20:BA20,Tabellen!$AX$38)-INDEX(AW20:BA20,Tabellen!$AX$38-1))/(INDEX($AW$16:$BA$16,Tabellen!$AX$38)-INDEX($AW$16:$BA$16,Tabellen!$AX$38-1))*$BB$16+INDEX(AW20:BA20,Tabellen!$AX$38)-INDEX($AW$16:$BA$16,Tabellen!$AX$38)*(INDEX(AW20:BA20,Tabellen!$AX$38)-INDEX(AW20:BA20,Tabellen!$AX$38-1))/(INDEX($AW$16:$BA$16,Tabellen!$AX$38)-INDEX($AW$16:$BA$16,Tabellen!$AX$38-1))))</f>
        <v>---</v>
      </c>
      <c r="BC20" s="294" t="str">
        <f t="shared" si="4"/>
        <v>---</v>
      </c>
      <c r="BE20" s="328" t="str">
        <f>$A$9</f>
        <v>Nah- /Fernwärme (n.ern.)</v>
      </c>
      <c r="BF20" s="288">
        <f>BF19</f>
        <v>2.09</v>
      </c>
      <c r="BG20" s="288">
        <f>BG19</f>
        <v>1.98</v>
      </c>
      <c r="BH20" s="288">
        <v>2.46</v>
      </c>
      <c r="BI20" s="288">
        <v>2.2200000000000002</v>
      </c>
      <c r="BJ20" s="288">
        <v>2.0699999999999998</v>
      </c>
      <c r="BK20" s="293" t="str">
        <f>IF(OR(EA_WG=FALSE,Tabellen!$BB$16&gt;=Basis_BGF_Grenze),"---",IF(EA_BGF&lt;=Tabellen!$AW$16,BF20,(INDEX(BF20:BJ20,Tabellen!$AX$38)-INDEX(BF20:BJ20,Tabellen!$AX$38-1))/(INDEX(Tabellen!$AW$16:$BA$16,Tabellen!$AX$38)-INDEX(Tabellen!$AW$16:$BA$16,Tabellen!$AX$38-1))*Tabellen!$BB$16+INDEX(BF20:BJ20,Tabellen!$AX$38)-INDEX(Tabellen!$AW$16:$BA$16,Tabellen!$AX$38)*(INDEX(BF20:BJ20,Tabellen!$AX$38)-INDEX(BF20:BJ20,Tabellen!$AX$38-1))/(INDEX(Tabellen!$AW$16:$BA$16,Tabellen!$AX$38)-INDEX(Tabellen!$AW$16:$BA$16,Tabellen!$AX$38-1))))</f>
        <v>---</v>
      </c>
      <c r="BL20" s="294" t="str">
        <f t="shared" si="5"/>
        <v>---</v>
      </c>
    </row>
    <row r="21" spans="1:64" ht="17.25" thickBot="1" x14ac:dyDescent="0.35">
      <c r="A21" s="14" t="s">
        <v>346</v>
      </c>
      <c r="B21" s="69"/>
      <c r="E21" s="14" t="s">
        <v>136</v>
      </c>
      <c r="Z21" s="120" t="s">
        <v>76</v>
      </c>
      <c r="AA21" s="17">
        <f>IF(Auswahl!$E$2="Empfehlung Energie Tirol",AB21,IF(Auswahl!$E$2="VDI 2067",AC21,AD21))</f>
        <v>30</v>
      </c>
      <c r="AB21" s="113">
        <v>35</v>
      </c>
      <c r="AC21" s="113"/>
      <c r="AD21" s="114">
        <v>30</v>
      </c>
      <c r="AF21" s="279" t="s">
        <v>310</v>
      </c>
      <c r="AG21" s="280" t="s">
        <v>214</v>
      </c>
      <c r="AV21" s="328" t="str">
        <f>$A$10</f>
        <v>Öl-System</v>
      </c>
      <c r="AW21" s="288">
        <v>1.0900000000000001</v>
      </c>
      <c r="AX21" s="288">
        <v>1.04</v>
      </c>
      <c r="AY21" s="288">
        <v>1.06</v>
      </c>
      <c r="AZ21" s="288">
        <v>1.03</v>
      </c>
      <c r="BA21" s="288">
        <v>1.06</v>
      </c>
      <c r="BB21" s="293" t="str">
        <f>IF(OR(EA_WG=FALSE,$BB$16&gt;=Basis_BGF_Grenze),"---",IF(EA_BGF&lt;=$AW$16,AW21,(INDEX(AW21:BA21,Tabellen!$AX$38)-INDEX(AW21:BA21,Tabellen!$AX$38-1))/(INDEX($AW$16:$BA$16,Tabellen!$AX$38)-INDEX($AW$16:$BA$16,Tabellen!$AX$38-1))*$BB$16+INDEX(AW21:BA21,Tabellen!$AX$38)-INDEX($AW$16:$BA$16,Tabellen!$AX$38)*(INDEX(AW21:BA21,Tabellen!$AX$38)-INDEX(AW21:BA21,Tabellen!$AX$38-1))/(INDEX($AW$16:$BA$16,Tabellen!$AX$38)-INDEX($AW$16:$BA$16,Tabellen!$AX$38-1))))</f>
        <v>---</v>
      </c>
      <c r="BC21" s="294" t="str">
        <f t="shared" si="4"/>
        <v>---</v>
      </c>
      <c r="BE21" s="328" t="str">
        <f>$A$10</f>
        <v>Öl-System</v>
      </c>
      <c r="BF21" s="288">
        <v>2.21</v>
      </c>
      <c r="BG21" s="288">
        <v>2.1</v>
      </c>
      <c r="BH21" s="288">
        <v>2.56</v>
      </c>
      <c r="BI21" s="288">
        <v>2.2799999999999998</v>
      </c>
      <c r="BJ21" s="288">
        <v>2.11</v>
      </c>
      <c r="BK21" s="293" t="str">
        <f>IF(OR(EA_WG=FALSE,Tabellen!$BB$16&gt;=Basis_BGF_Grenze),"---",IF(EA_BGF&lt;=Tabellen!$AW$16,BF21,(INDEX(BF21:BJ21,Tabellen!$AX$38)-INDEX(BF21:BJ21,Tabellen!$AX$38-1))/(INDEX(Tabellen!$AW$16:$BA$16,Tabellen!$AX$38)-INDEX(Tabellen!$AW$16:$BA$16,Tabellen!$AX$38-1))*Tabellen!$BB$16+INDEX(BF21:BJ21,Tabellen!$AX$38)-INDEX(Tabellen!$AW$16:$BA$16,Tabellen!$AX$38)*(INDEX(BF21:BJ21,Tabellen!$AX$38)-INDEX(BF21:BJ21,Tabellen!$AX$38-1))/(INDEX(Tabellen!$AW$16:$BA$16,Tabellen!$AX$38)-INDEX(Tabellen!$AW$16:$BA$16,Tabellen!$AX$38-1))))</f>
        <v>---</v>
      </c>
      <c r="BL21" s="294" t="str">
        <f t="shared" si="5"/>
        <v>---</v>
      </c>
    </row>
    <row r="22" spans="1:64" ht="16.5" x14ac:dyDescent="0.25">
      <c r="A22" s="110" t="s">
        <v>53</v>
      </c>
      <c r="E22" s="110" t="s">
        <v>53</v>
      </c>
      <c r="Z22" s="120" t="s">
        <v>42</v>
      </c>
      <c r="AA22" s="17">
        <f>IF(Auswahl!$E$2="Empfehlung Energie Tirol",AB22,IF(Auswahl!$E$2="VDI 2067",AC22,AD22))</f>
        <v>30</v>
      </c>
      <c r="AB22" s="113">
        <v>30</v>
      </c>
      <c r="AC22" s="113"/>
      <c r="AD22" s="114">
        <v>30</v>
      </c>
      <c r="AV22" s="328" t="str">
        <f>$A$11</f>
        <v>Pelletsanlage</v>
      </c>
      <c r="AW22" s="288">
        <v>1.38</v>
      </c>
      <c r="AX22" s="288">
        <v>1.3</v>
      </c>
      <c r="AY22" s="288">
        <v>1.28</v>
      </c>
      <c r="AZ22" s="288">
        <v>1.22</v>
      </c>
      <c r="BA22" s="288">
        <v>1.23</v>
      </c>
      <c r="BB22" s="293" t="str">
        <f>IF(OR(EA_WG=FALSE,$BB$16&gt;=Basis_BGF_Grenze),"---",IF(EA_BGF&lt;=$AW$16,AW22,(INDEX(AW22:BA22,Tabellen!$AX$38)-INDEX(AW22:BA22,Tabellen!$AX$38-1))/(INDEX($AW$16:$BA$16,Tabellen!$AX$38)-INDEX($AW$16:$BA$16,Tabellen!$AX$38-1))*$BB$16+INDEX(AW22:BA22,Tabellen!$AX$38)-INDEX($AW$16:$BA$16,Tabellen!$AX$38)*(INDEX(AW22:BA22,Tabellen!$AX$38)-INDEX(AW22:BA22,Tabellen!$AX$38-1))/(INDEX($AW$16:$BA$16,Tabellen!$AX$38)-INDEX($AW$16:$BA$16,Tabellen!$AX$38-1))))</f>
        <v>---</v>
      </c>
      <c r="BC22" s="294" t="str">
        <f t="shared" si="4"/>
        <v>---</v>
      </c>
      <c r="BE22" s="328" t="str">
        <f>$A$11</f>
        <v>Pelletsanlage</v>
      </c>
      <c r="BF22" s="288">
        <v>2.95</v>
      </c>
      <c r="BG22" s="288">
        <v>2.81</v>
      </c>
      <c r="BH22" s="288">
        <v>3.23</v>
      </c>
      <c r="BI22" s="288">
        <v>2.87</v>
      </c>
      <c r="BJ22" s="288">
        <v>2.6</v>
      </c>
      <c r="BK22" s="293" t="str">
        <f>IF(OR(EA_WG=FALSE,Tabellen!$BB$16&gt;=Basis_BGF_Grenze),"---",IF(EA_BGF&lt;=Tabellen!$AW$16,BF22,(INDEX(BF22:BJ22,Tabellen!$AX$38)-INDEX(BF22:BJ22,Tabellen!$AX$38-1))/(INDEX(Tabellen!$AW$16:$BA$16,Tabellen!$AX$38)-INDEX(Tabellen!$AW$16:$BA$16,Tabellen!$AX$38-1))*Tabellen!$BB$16+INDEX(BF22:BJ22,Tabellen!$AX$38)-INDEX(Tabellen!$AW$16:$BA$16,Tabellen!$AX$38)*(INDEX(BF22:BJ22,Tabellen!$AX$38)-INDEX(BF22:BJ22,Tabellen!$AX$38-1))/(INDEX(Tabellen!$AW$16:$BA$16,Tabellen!$AX$38)-INDEX(Tabellen!$AW$16:$BA$16,Tabellen!$AX$38-1))))</f>
        <v>---</v>
      </c>
      <c r="BL22" s="294" t="str">
        <f t="shared" si="5"/>
        <v>---</v>
      </c>
    </row>
    <row r="23" spans="1:64" ht="16.5" x14ac:dyDescent="0.25">
      <c r="A23" s="111" t="s">
        <v>351</v>
      </c>
      <c r="E23" s="111" t="s">
        <v>253</v>
      </c>
      <c r="Z23" s="120" t="s">
        <v>57</v>
      </c>
      <c r="AA23" s="17">
        <f>IF(Auswahl!$E$2="Empfehlung Energie Tirol",AB23,IF(Auswahl!$E$2="VDI 2067",AC23,AD23))</f>
        <v>50</v>
      </c>
      <c r="AB23" s="113">
        <v>50</v>
      </c>
      <c r="AC23" s="113"/>
      <c r="AD23" s="114">
        <v>50</v>
      </c>
      <c r="AV23" s="328" t="str">
        <f>$C$12</f>
        <v>Stromdirektheizung</v>
      </c>
      <c r="AW23" s="288">
        <v>0.89</v>
      </c>
      <c r="AX23" s="288">
        <v>0.92</v>
      </c>
      <c r="AY23" s="288">
        <v>0.85</v>
      </c>
      <c r="AZ23" s="288">
        <v>0.83</v>
      </c>
      <c r="BA23" s="288">
        <v>0.88</v>
      </c>
      <c r="BB23" s="293" t="str">
        <f>IF(OR(EA_WG=FALSE,$BB$16&gt;=Basis_BGF_Grenze),"---",IF(EA_BGF&lt;=$AW$16,AW23,(INDEX(AW23:BA23,Tabellen!$AX$38)-INDEX(AW23:BA23,Tabellen!$AX$38-1))/(INDEX($AW$16:$BA$16,Tabellen!$AX$38)-INDEX($AW$16:$BA$16,Tabellen!$AX$38-1))*$BB$16+INDEX(AW23:BA23,Tabellen!$AX$38)-INDEX($AW$16:$BA$16,Tabellen!$AX$38)*(INDEX(AW23:BA23,Tabellen!$AX$38)-INDEX(AW23:BA23,Tabellen!$AX$38-1))/(INDEX($AW$16:$BA$16,Tabellen!$AX$38)-INDEX($AW$16:$BA$16,Tabellen!$AX$38-1))))</f>
        <v>---</v>
      </c>
      <c r="BC23" s="294" t="str">
        <f t="shared" si="4"/>
        <v>---</v>
      </c>
      <c r="BE23" s="328" t="str">
        <f>$A$14</f>
        <v>Wärmepumpe (Wasser)</v>
      </c>
      <c r="BF23" s="288">
        <v>0.61</v>
      </c>
      <c r="BG23" s="288">
        <v>0.59</v>
      </c>
      <c r="BH23" s="288">
        <v>1.25</v>
      </c>
      <c r="BI23" s="288">
        <v>1.06</v>
      </c>
      <c r="BJ23" s="288">
        <v>1.01</v>
      </c>
      <c r="BK23" s="293" t="str">
        <f>IF(OR(EA_WG=FALSE,Tabellen!$BB$16&gt;=Basis_BGF_Grenze),"---",IF(EA_BGF&lt;=Tabellen!$AW$16,BF23,(INDEX(BF23:BJ23,Tabellen!$AX$38)-INDEX(BF23:BJ23,Tabellen!$AX$38-1))/(INDEX(Tabellen!$AW$16:$BA$16,Tabellen!$AX$38)-INDEX(Tabellen!$AW$16:$BA$16,Tabellen!$AX$38-1))*Tabellen!$BB$16+INDEX(BF23:BJ23,Tabellen!$AX$38)-INDEX(Tabellen!$AW$16:$BA$16,Tabellen!$AX$38)*(INDEX(BF23:BJ23,Tabellen!$AX$38)-INDEX(BF23:BJ23,Tabellen!$AX$38-1))/(INDEX(Tabellen!$AW$16:$BA$16,Tabellen!$AX$38)-INDEX(Tabellen!$AW$16:$BA$16,Tabellen!$AX$38-1))))</f>
        <v>---</v>
      </c>
      <c r="BL23" s="294" t="str">
        <f t="shared" si="5"/>
        <v>---</v>
      </c>
    </row>
    <row r="24" spans="1:64" ht="17.25" thickBot="1" x14ac:dyDescent="0.3">
      <c r="A24" s="323" t="s">
        <v>347</v>
      </c>
      <c r="E24" s="112" t="s">
        <v>254</v>
      </c>
      <c r="Z24" s="120" t="s">
        <v>67</v>
      </c>
      <c r="AA24" s="17">
        <f>IF(Auswahl!$E$2="Empfehlung Energie Tirol",AB24,IF(Auswahl!$E$2="VDI 2067",AC24,AD24))</f>
        <v>50</v>
      </c>
      <c r="AB24" s="113">
        <v>50</v>
      </c>
      <c r="AC24" s="113"/>
      <c r="AD24" s="114">
        <v>50</v>
      </c>
      <c r="AV24" s="328" t="str">
        <f>$A$14</f>
        <v>Wärmepumpe (Wasser)</v>
      </c>
      <c r="AW24" s="288">
        <v>0.22</v>
      </c>
      <c r="AX24" s="288">
        <v>0.21</v>
      </c>
      <c r="AY24" s="288">
        <v>0.31</v>
      </c>
      <c r="AZ24" s="288">
        <v>0.3</v>
      </c>
      <c r="BA24" s="288">
        <v>0.3</v>
      </c>
      <c r="BB24" s="293" t="str">
        <f>IF(OR(EA_WG=FALSE,$BB$16&gt;=Basis_BGF_Grenze),"---",IF(EA_BGF&lt;=$AW$16,AW24,(INDEX(AW24:BA24,Tabellen!$AX$38)-INDEX(AW24:BA24,Tabellen!$AX$38-1))/(INDEX($AW$16:$BA$16,Tabellen!$AX$38)-INDEX($AW$16:$BA$16,Tabellen!$AX$38-1))*$BB$16+INDEX(AW24:BA24,Tabellen!$AX$38)-INDEX($AW$16:$BA$16,Tabellen!$AX$38)*(INDEX(AW24:BA24,Tabellen!$AX$38)-INDEX(AW24:BA24,Tabellen!$AX$38-1))/(INDEX($AW$16:$BA$16,Tabellen!$AX$38)-INDEX($AW$16:$BA$16,Tabellen!$AX$38-1))))</f>
        <v>---</v>
      </c>
      <c r="BC24" s="294" t="str">
        <f t="shared" si="4"/>
        <v>---</v>
      </c>
      <c r="BE24" s="328" t="str">
        <f>$A$15</f>
        <v>Wärmepumpe (Luft)</v>
      </c>
      <c r="BF24" s="288">
        <v>0.65</v>
      </c>
      <c r="BG24" s="288">
        <v>0.62</v>
      </c>
      <c r="BH24" s="288">
        <v>1.33</v>
      </c>
      <c r="BI24" s="288">
        <v>1.1399999999999999</v>
      </c>
      <c r="BJ24" s="288">
        <v>1.02</v>
      </c>
      <c r="BK24" s="293" t="str">
        <f>IF(OR(EA_WG=FALSE,Tabellen!$BB$16&gt;=Basis_BGF_Grenze),"---",IF(EA_BGF&lt;=Tabellen!$AW$16,BF24,(INDEX(BF24:BJ24,Tabellen!$AX$38)-INDEX(BF24:BJ24,Tabellen!$AX$38-1))/(INDEX(Tabellen!$AW$16:$BA$16,Tabellen!$AX$38)-INDEX(Tabellen!$AW$16:$BA$16,Tabellen!$AX$38-1))*Tabellen!$BB$16+INDEX(BF24:BJ24,Tabellen!$AX$38)-INDEX(Tabellen!$AW$16:$BA$16,Tabellen!$AX$38)*(INDEX(BF24:BJ24,Tabellen!$AX$38)-INDEX(BF24:BJ24,Tabellen!$AX$38-1))/(INDEX(Tabellen!$AW$16:$BA$16,Tabellen!$AX$38)-INDEX(Tabellen!$AW$16:$BA$16,Tabellen!$AX$38-1))))</f>
        <v>---</v>
      </c>
      <c r="BL24" s="294" t="str">
        <f t="shared" si="5"/>
        <v>---</v>
      </c>
    </row>
    <row r="25" spans="1:64" ht="17.25" thickBot="1" x14ac:dyDescent="0.3">
      <c r="A25" s="112" t="s">
        <v>350</v>
      </c>
      <c r="Z25" s="120" t="s">
        <v>44</v>
      </c>
      <c r="AA25" s="17">
        <f>IF(Auswahl!$E$2="Empfehlung Energie Tirol",AB25,IF(Auswahl!$E$2="VDI 2067",AC25,AD25))</f>
        <v>30</v>
      </c>
      <c r="AB25" s="113">
        <v>20</v>
      </c>
      <c r="AC25" s="113"/>
      <c r="AD25" s="114">
        <v>30</v>
      </c>
      <c r="AV25" s="328" t="str">
        <f>$A$15</f>
        <v>Wärmepumpe (Luft)</v>
      </c>
      <c r="AW25" s="288">
        <v>0.31</v>
      </c>
      <c r="AX25" s="288">
        <v>0.3</v>
      </c>
      <c r="AY25" s="288">
        <v>0.42</v>
      </c>
      <c r="AZ25" s="288">
        <v>0.41</v>
      </c>
      <c r="BA25" s="288">
        <v>0.41</v>
      </c>
      <c r="BB25" s="293" t="str">
        <f>IF(OR(EA_WG=FALSE,$BB$16&gt;=Basis_BGF_Grenze),"---",IF(EA_BGF&lt;=$AW$16,AW25,(INDEX(AW25:BA25,Tabellen!$AX$38)-INDEX(AW25:BA25,Tabellen!$AX$38-1))/(INDEX($AW$16:$BA$16,Tabellen!$AX$38)-INDEX($AW$16:$BA$16,Tabellen!$AX$38-1))*$BB$16+INDEX(AW25:BA25,Tabellen!$AX$38)-INDEX($AW$16:$BA$16,Tabellen!$AX$38)*(INDEX(AW25:BA25,Tabellen!$AX$38)-INDEX(AW25:BA25,Tabellen!$AX$38-1))/(INDEX($AW$16:$BA$16,Tabellen!$AX$38)-INDEX($AW$16:$BA$16,Tabellen!$AX$38-1))))</f>
        <v>---</v>
      </c>
      <c r="BC25" s="294" t="str">
        <f t="shared" si="4"/>
        <v>---</v>
      </c>
      <c r="BE25" s="328" t="str">
        <f>$A$16</f>
        <v>Wärmepumpe (Sole)</v>
      </c>
      <c r="BF25" s="288">
        <v>0.65</v>
      </c>
      <c r="BG25" s="288">
        <v>0.62</v>
      </c>
      <c r="BH25" s="10">
        <f>BH24</f>
        <v>1.33</v>
      </c>
      <c r="BI25" s="10">
        <f>BI24</f>
        <v>1.1399999999999999</v>
      </c>
      <c r="BJ25" s="10">
        <f>BJ24</f>
        <v>1.02</v>
      </c>
      <c r="BK25" s="293" t="str">
        <f>IF(OR(EA_WG=FALSE,Tabellen!$BB$16&gt;=Basis_BGF_Grenze),"---",IF(EA_BGF&lt;=Tabellen!$AW$16,BF25,(INDEX(BF25:BJ25,Tabellen!$AX$38)-INDEX(BF25:BJ25,Tabellen!$AX$38-1))/(INDEX(Tabellen!$AW$16:$BA$16,Tabellen!$AX$38)-INDEX(Tabellen!$AW$16:$BA$16,Tabellen!$AX$38-1))*Tabellen!$BB$16+INDEX(BF25:BJ25,Tabellen!$AX$38)-INDEX(Tabellen!$AW$16:$BA$16,Tabellen!$AX$38)*(INDEX(BF25:BJ25,Tabellen!$AX$38)-INDEX(BF25:BJ25,Tabellen!$AX$38-1))/(INDEX(Tabellen!$AW$16:$BA$16,Tabellen!$AX$38)-INDEX(Tabellen!$AW$16:$BA$16,Tabellen!$AX$38-1))))</f>
        <v>---</v>
      </c>
      <c r="BL25" s="294" t="str">
        <f t="shared" si="5"/>
        <v>---</v>
      </c>
    </row>
    <row r="26" spans="1:64" ht="17.25" thickBot="1" x14ac:dyDescent="0.3">
      <c r="Z26" s="120" t="s">
        <v>41</v>
      </c>
      <c r="AA26" s="17">
        <f>IF(Auswahl!$E$2="Empfehlung Energie Tirol",AB26,IF(Auswahl!$E$2="VDI 2067",AC26,AD26))</f>
        <v>30</v>
      </c>
      <c r="AB26" s="113">
        <v>30</v>
      </c>
      <c r="AC26" s="113"/>
      <c r="AD26" s="114">
        <v>30</v>
      </c>
      <c r="AV26" s="329" t="str">
        <f>$A$16</f>
        <v>Wärmepumpe (Sole)</v>
      </c>
      <c r="AW26" s="305">
        <v>0.25</v>
      </c>
      <c r="AX26" s="305">
        <v>0.24</v>
      </c>
      <c r="AY26" s="306">
        <f>AY24*1.14</f>
        <v>0.35339999999999999</v>
      </c>
      <c r="AZ26" s="306">
        <f>AZ24*1.14</f>
        <v>0.34199999999999997</v>
      </c>
      <c r="BA26" s="306">
        <f>BA24*1.14</f>
        <v>0.34199999999999997</v>
      </c>
      <c r="BB26" s="306" t="str">
        <f>IF(OR(EA_WG=FALSE,$BB$16&gt;=Basis_BGF_Grenze),"---",IF(EA_BGF&lt;=$AW$16,AW26,(INDEX(AW26:BA26,Tabellen!$AX$38)-INDEX(AW26:BA26,Tabellen!$AX$38-1))/(INDEX($AW$16:$BA$16,Tabellen!$AX$38)-INDEX($AW$16:$BA$16,Tabellen!$AX$38-1))*$BB$16+INDEX(AW26:BA26,Tabellen!$AX$38)-INDEX($AW$16:$BA$16,Tabellen!$AX$38)*(INDEX(AW26:BA26,Tabellen!$AX$38)-INDEX(AW26:BA26,Tabellen!$AX$38-1))/(INDEX($AW$16:$BA$16,Tabellen!$AX$38)-INDEX($AW$16:$BA$16,Tabellen!$AX$38-1))))</f>
        <v>---</v>
      </c>
      <c r="BC26" s="297" t="str">
        <f t="shared" si="4"/>
        <v>---</v>
      </c>
      <c r="BE26" s="329" t="str">
        <f>$A$12</f>
        <v>Elektro-Boiler / Durchlauferhitzer</v>
      </c>
      <c r="BF26" s="307"/>
      <c r="BG26" s="307"/>
      <c r="BH26" s="305"/>
      <c r="BI26" s="305"/>
      <c r="BJ26" s="305"/>
      <c r="BK26" s="306" t="str">
        <f>IF(Basis_WW_dezentral=TRUE,EA_EAWZ_WW,"---")</f>
        <v>---</v>
      </c>
      <c r="BL26" s="308"/>
    </row>
    <row r="27" spans="1:64" ht="16.5" x14ac:dyDescent="0.25">
      <c r="Z27" s="120" t="s">
        <v>43</v>
      </c>
      <c r="AA27" s="17">
        <f>IF(Auswahl!$E$2="Empfehlung Energie Tirol",AB27,IF(Auswahl!$E$2="VDI 2067",AC27,AD27))</f>
        <v>30</v>
      </c>
      <c r="AB27" s="113">
        <v>35</v>
      </c>
      <c r="AC27" s="113"/>
      <c r="AD27" s="114">
        <v>30</v>
      </c>
      <c r="AV27" s="3"/>
      <c r="AW27" s="3"/>
      <c r="AX27" s="3"/>
      <c r="AY27" s="3"/>
      <c r="AZ27" s="3"/>
      <c r="BA27" s="3"/>
      <c r="BB27" s="3"/>
      <c r="BC27" s="3"/>
      <c r="BE27" s="3"/>
      <c r="BF27" s="3"/>
      <c r="BG27" s="3"/>
      <c r="BH27" s="21"/>
      <c r="BI27" s="21"/>
      <c r="BJ27" s="21"/>
      <c r="BK27" s="3"/>
      <c r="BL27" s="3"/>
    </row>
    <row r="28" spans="1:64" ht="16.5" x14ac:dyDescent="0.25">
      <c r="Z28" s="120" t="s">
        <v>63</v>
      </c>
      <c r="AA28" s="17">
        <f>IF(Auswahl!$E$2="Empfehlung Energie Tirol",AB28,IF(Auswahl!$E$2="VDI 2067",AC28,AD28))</f>
        <v>50</v>
      </c>
      <c r="AB28" s="113">
        <v>50</v>
      </c>
      <c r="AC28" s="113"/>
      <c r="AD28" s="114">
        <v>50</v>
      </c>
      <c r="AV28" s="245" t="s">
        <v>326</v>
      </c>
      <c r="AW28" s="292" t="e">
        <f>EA_EAWZ_RH/VLOOKUP(INDEX(EA_RH_System,EA_RH_System_Select),AV17:BB26,7,FALSE)</f>
        <v>#N/A</v>
      </c>
      <c r="AX28" s="3"/>
      <c r="AY28" s="3"/>
      <c r="AZ28" s="3"/>
      <c r="BA28" s="3"/>
      <c r="BB28" s="3"/>
      <c r="BC28" s="3"/>
      <c r="BE28" s="245" t="s">
        <v>326</v>
      </c>
      <c r="BF28" s="292" t="e">
        <f>EA_EAWZ_WW/VLOOKUP(INDEX(EA_WW_System,EA_WW_System_Select),BE17:BK26,7,FALSE)</f>
        <v>#N/A</v>
      </c>
      <c r="BG28" s="3"/>
      <c r="BH28" s="3"/>
      <c r="BI28" s="3"/>
      <c r="BJ28" s="3"/>
      <c r="BK28" s="3"/>
      <c r="BL28" s="3"/>
    </row>
    <row r="29" spans="1:64" ht="16.5" x14ac:dyDescent="0.25">
      <c r="Z29" s="120" t="s">
        <v>218</v>
      </c>
      <c r="AA29" s="17">
        <f>IF(Auswahl!$E$2="Empfehlung Energie Tirol",AB29,IF(Auswahl!$E$2="VDI 2067",AC29,AD29))</f>
        <v>50</v>
      </c>
      <c r="AB29" s="113">
        <v>40</v>
      </c>
      <c r="AC29" s="113"/>
      <c r="AD29" s="114">
        <v>50</v>
      </c>
      <c r="AV29" s="245"/>
      <c r="AW29" s="3"/>
      <c r="AX29" s="21"/>
      <c r="AY29" s="21"/>
      <c r="AZ29" s="21"/>
      <c r="BA29" s="21"/>
      <c r="BB29" s="3"/>
      <c r="BC29" s="3"/>
      <c r="BE29" s="245"/>
      <c r="BF29" s="3"/>
      <c r="BG29" s="3"/>
      <c r="BH29" s="3"/>
      <c r="BI29" s="3"/>
      <c r="BJ29" s="3"/>
      <c r="BK29" s="3"/>
      <c r="BL29" s="3"/>
    </row>
    <row r="30" spans="1:64" ht="16.5" x14ac:dyDescent="0.25">
      <c r="Z30" s="120" t="s">
        <v>39</v>
      </c>
      <c r="AA30" s="17">
        <f>IF(Auswahl!$E$2="Empfehlung Energie Tirol",AB30,IF(Auswahl!$E$2="VDI 2067",AC30,AD30))</f>
        <v>30</v>
      </c>
      <c r="AB30" s="113">
        <v>30</v>
      </c>
      <c r="AC30" s="113"/>
      <c r="AD30" s="114">
        <v>30</v>
      </c>
      <c r="AV30" s="245"/>
      <c r="AW30" s="3"/>
      <c r="AX30" s="21"/>
      <c r="AY30" s="21"/>
      <c r="AZ30" s="21"/>
      <c r="BA30" s="21"/>
      <c r="BB30" s="3"/>
      <c r="BC30" s="3"/>
      <c r="BE30" s="245"/>
      <c r="BF30" s="3"/>
      <c r="BG30" s="3"/>
      <c r="BH30" s="3"/>
      <c r="BI30" s="3"/>
      <c r="BJ30" s="3"/>
      <c r="BK30" s="3"/>
      <c r="BL30" s="3"/>
    </row>
    <row r="31" spans="1:64" ht="16.5" x14ac:dyDescent="0.25">
      <c r="Z31" s="120" t="s">
        <v>69</v>
      </c>
      <c r="AA31" s="17">
        <f>IF(Auswahl!$E$2="Empfehlung Energie Tirol",AB31,IF(Auswahl!$E$2="VDI 2067",AC31,AD31))</f>
        <v>30</v>
      </c>
      <c r="AB31" s="113">
        <v>25</v>
      </c>
      <c r="AC31" s="113"/>
      <c r="AD31" s="114">
        <v>30</v>
      </c>
    </row>
    <row r="32" spans="1:64" ht="16.5" x14ac:dyDescent="0.25">
      <c r="G32" s="2"/>
      <c r="H32" s="2"/>
      <c r="Z32" s="120" t="s">
        <v>40</v>
      </c>
      <c r="AA32" s="17">
        <f>IF(Auswahl!$E$2="Empfehlung Energie Tirol",AB32,IF(Auswahl!$E$2="VDI 2067",AC32,AD32))</f>
        <v>30</v>
      </c>
      <c r="AB32" s="113">
        <v>25</v>
      </c>
      <c r="AC32" s="113"/>
      <c r="AD32" s="114">
        <v>30</v>
      </c>
      <c r="BE32" s="245" t="s">
        <v>332</v>
      </c>
    </row>
    <row r="33" spans="26:64" ht="16.5" x14ac:dyDescent="0.25">
      <c r="Z33" s="120" t="s">
        <v>334</v>
      </c>
      <c r="AA33" s="17">
        <f>IF(Auswahl!$E$2="Empfehlung Energie Tirol",AB33,IF(Auswahl!$E$2="VDI 2067",AC33,AD33))</f>
        <v>30</v>
      </c>
      <c r="AB33" s="113">
        <v>20</v>
      </c>
      <c r="AC33" s="113"/>
      <c r="AD33" s="114">
        <v>30</v>
      </c>
      <c r="AV33" s="289" t="s">
        <v>324</v>
      </c>
      <c r="AW33" s="290"/>
      <c r="AX33" s="21"/>
      <c r="BE33" s="303" t="s">
        <v>113</v>
      </c>
      <c r="BF33" s="304" t="s">
        <v>242</v>
      </c>
      <c r="BG33" s="304" t="s">
        <v>241</v>
      </c>
      <c r="BH33" s="304" t="s">
        <v>243</v>
      </c>
      <c r="BI33" s="304" t="s">
        <v>244</v>
      </c>
      <c r="BJ33" s="304" t="s">
        <v>245</v>
      </c>
      <c r="BK33" s="304" t="s">
        <v>20</v>
      </c>
    </row>
    <row r="34" spans="26:64" ht="16.5" x14ac:dyDescent="0.25">
      <c r="Z34" s="120" t="s">
        <v>37</v>
      </c>
      <c r="AA34" s="17">
        <f>IF(Auswahl!$E$2="Empfehlung Energie Tirol",AB34,IF(Auswahl!$E$2="VDI 2067",AC34,AD34))</f>
        <v>30</v>
      </c>
      <c r="AB34" s="113">
        <v>20</v>
      </c>
      <c r="AC34" s="113"/>
      <c r="AD34" s="114">
        <v>30</v>
      </c>
      <c r="AV34" s="288">
        <v>157.56</v>
      </c>
      <c r="AW34" s="288"/>
      <c r="AX34" s="21"/>
      <c r="BE34" s="309" t="s">
        <v>56</v>
      </c>
      <c r="BF34" s="288">
        <v>157.56</v>
      </c>
      <c r="BG34" s="288">
        <v>206.36</v>
      </c>
      <c r="BH34" s="288">
        <v>672.51</v>
      </c>
      <c r="BI34" s="288">
        <v>1417.03</v>
      </c>
      <c r="BJ34" s="288">
        <v>4273.12</v>
      </c>
      <c r="BK34" s="288">
        <v>200</v>
      </c>
    </row>
    <row r="35" spans="26:64" ht="17.25" thickBot="1" x14ac:dyDescent="0.3">
      <c r="Z35" s="121" t="s">
        <v>38</v>
      </c>
      <c r="AA35" s="18">
        <f>IF(Auswahl!$E$2="Empfehlung Energie Tirol",AB35,IF(Auswahl!$E$2="VDI 2067",AC35,AD35))</f>
        <v>30</v>
      </c>
      <c r="AB35" s="113">
        <v>18</v>
      </c>
      <c r="AC35" s="113"/>
      <c r="AD35" s="114">
        <v>30</v>
      </c>
      <c r="AV35" s="288">
        <v>206.36</v>
      </c>
      <c r="AW35" s="10" t="b">
        <f>AND(EA_BGF&gt;=AV34,EA_BGF&lt;=AV35)</f>
        <v>0</v>
      </c>
      <c r="AX35" s="21"/>
      <c r="BE35" s="330" t="str">
        <f>$A$5</f>
        <v>Flüssiggasanlage</v>
      </c>
      <c r="BF35" s="10">
        <f>BF36</f>
        <v>1.93</v>
      </c>
      <c r="BG35" s="10">
        <f t="shared" ref="BG35:BJ35" si="6">BG36</f>
        <v>1.83</v>
      </c>
      <c r="BH35" s="10">
        <f t="shared" si="6"/>
        <v>2.1800000000000002</v>
      </c>
      <c r="BI35" s="10">
        <f t="shared" si="6"/>
        <v>1.95</v>
      </c>
      <c r="BJ35" s="10">
        <f t="shared" si="6"/>
        <v>1.81</v>
      </c>
      <c r="BK35" s="293" t="str">
        <f>IF(OR(EA_WG=FALSE,Tabellen!$BB$16&gt;=Basis_BGF_Grenze),"---",IF(EA_BGF&lt;=Tabellen!$AW$16,BF35,(INDEX(BF35:BJ35,Tabellen!$AX$38)-INDEX(BF35:BJ35,Tabellen!$AX$38-1))/(INDEX(Tabellen!$AW$16:$BA$16,Tabellen!$AX$38)-INDEX(Tabellen!$AW$16:$BA$16,Tabellen!$AX$38-1))*Tabellen!$BB$16+INDEX(BF35:BJ35,Tabellen!$AX$38)-INDEX(Tabellen!$AW$16:$BA$16,Tabellen!$AX$38)*(INDEX(BF35:BJ35,Tabellen!$AX$38)-INDEX(BF35:BJ35,Tabellen!$AX$38-1))/(INDEX(Tabellen!$AW$16:$BA$16,Tabellen!$AX$38)-INDEX(Tabellen!$AW$16:$BA$16,Tabellen!$AX$38-1))))</f>
        <v>---</v>
      </c>
    </row>
    <row r="36" spans="26:64" ht="16.5" x14ac:dyDescent="0.25">
      <c r="AV36" s="288">
        <v>672.51</v>
      </c>
      <c r="AW36" s="10" t="b">
        <f>AND(EA_BGF&gt;=AV35,EA_BGF&lt;=AV36)</f>
        <v>0</v>
      </c>
      <c r="AX36" s="21"/>
      <c r="BE36" s="330" t="str">
        <f>$A$6</f>
        <v>Gas-System</v>
      </c>
      <c r="BF36" s="288">
        <v>1.93</v>
      </c>
      <c r="BG36" s="288">
        <v>1.83</v>
      </c>
      <c r="BH36" s="288">
        <v>2.1800000000000002</v>
      </c>
      <c r="BI36" s="288">
        <v>1.95</v>
      </c>
      <c r="BJ36" s="288">
        <v>1.81</v>
      </c>
      <c r="BK36" s="293" t="str">
        <f>IF(OR(EA_WG=FALSE,Tabellen!$BB$16&gt;=Basis_BGF_Grenze),"---",IF(EA_BGF&lt;=Tabellen!$AW$16,BF36,(INDEX(BF36:BJ36,Tabellen!$AX$38)-INDEX(BF36:BJ36,Tabellen!$AX$38-1))/(INDEX(Tabellen!$AW$16:$BA$16,Tabellen!$AX$38)-INDEX(Tabellen!$AW$16:$BA$16,Tabellen!$AX$38-1))*Tabellen!$BB$16+INDEX(BF36:BJ36,Tabellen!$AX$38)-INDEX(Tabellen!$AW$16:$BA$16,Tabellen!$AX$38)*(INDEX(BF36:BJ36,Tabellen!$AX$38)-INDEX(BF36:BJ36,Tabellen!$AX$38-1))/(INDEX(Tabellen!$AW$16:$BA$16,Tabellen!$AX$38)-INDEX(Tabellen!$AW$16:$BA$16,Tabellen!$AX$38-1))))</f>
        <v>---</v>
      </c>
    </row>
    <row r="37" spans="26:64" ht="16.5" x14ac:dyDescent="0.25">
      <c r="AV37" s="288">
        <v>1417.03</v>
      </c>
      <c r="AW37" s="10" t="b">
        <f>AND(EA_BGF&gt;=AV36,EA_BGF&lt;=AV37)</f>
        <v>0</v>
      </c>
      <c r="AX37" s="21"/>
      <c r="BE37" s="330" t="str">
        <f>$A$8</f>
        <v>Nah- /Fernwärme (ern.)</v>
      </c>
      <c r="BF37" s="288">
        <v>1.83</v>
      </c>
      <c r="BG37" s="288">
        <v>1.73</v>
      </c>
      <c r="BH37" s="288">
        <v>2.09</v>
      </c>
      <c r="BI37" s="288">
        <v>1.9</v>
      </c>
      <c r="BJ37" s="288">
        <v>1.78</v>
      </c>
      <c r="BK37" s="293" t="str">
        <f>IF(OR(EA_WG=FALSE,Tabellen!$BB$16&gt;=Basis_BGF_Grenze),"---",IF(EA_BGF&lt;=Tabellen!$AW$16,BF37,(INDEX(BF37:BJ37,Tabellen!$AX$38)-INDEX(BF37:BJ37,Tabellen!$AX$38-1))/(INDEX(Tabellen!$AW$16:$BA$16,Tabellen!$AX$38)-INDEX(Tabellen!$AW$16:$BA$16,Tabellen!$AX$38-1))*Tabellen!$BB$16+INDEX(BF37:BJ37,Tabellen!$AX$38)-INDEX(Tabellen!$AW$16:$BA$16,Tabellen!$AX$38)*(INDEX(BF37:BJ37,Tabellen!$AX$38)-INDEX(BF37:BJ37,Tabellen!$AX$38-1))/(INDEX(Tabellen!$AW$16:$BA$16,Tabellen!$AX$38)-INDEX(Tabellen!$AW$16:$BA$16,Tabellen!$AX$38-1))))</f>
        <v>---</v>
      </c>
    </row>
    <row r="38" spans="26:64" ht="16.5" x14ac:dyDescent="0.25">
      <c r="AV38" s="288">
        <v>4273.12</v>
      </c>
      <c r="AW38" s="10" t="b">
        <f>AND(EA_BGF&gt;=AV37,EA_BGF&lt;=AV38)</f>
        <v>0</v>
      </c>
      <c r="AX38" s="10" t="e">
        <f>MATCH(TRUE,$AW$34:$AW$38,0)</f>
        <v>#N/A</v>
      </c>
      <c r="BE38" s="330" t="str">
        <f>$A$9</f>
        <v>Nah- /Fernwärme (n.ern.)</v>
      </c>
      <c r="BF38" s="288">
        <v>1.83</v>
      </c>
      <c r="BG38" s="288">
        <v>1.73</v>
      </c>
      <c r="BH38" s="288">
        <v>2.09</v>
      </c>
      <c r="BI38" s="288">
        <v>1.9</v>
      </c>
      <c r="BJ38" s="288">
        <v>1.78</v>
      </c>
      <c r="BK38" s="293" t="str">
        <f>IF(OR(EA_WG=FALSE,Tabellen!$BB$16&gt;=Basis_BGF_Grenze),"---",IF(EA_BGF&lt;=Tabellen!$AW$16,BF38,(INDEX(BF38:BJ38,Tabellen!$AX$38)-INDEX(BF38:BJ38,Tabellen!$AX$38-1))/(INDEX(Tabellen!$AW$16:$BA$16,Tabellen!$AX$38)-INDEX(Tabellen!$AW$16:$BA$16,Tabellen!$AX$38-1))*Tabellen!$BB$16+INDEX(BF38:BJ38,Tabellen!$AX$38)-INDEX(Tabellen!$AW$16:$BA$16,Tabellen!$AX$38)*(INDEX(BF38:BJ38,Tabellen!$AX$38)-INDEX(BF38:BJ38,Tabellen!$AX$38-1))/(INDEX(Tabellen!$AW$16:$BA$16,Tabellen!$AX$38)-INDEX(Tabellen!$AW$16:$BA$16,Tabellen!$AX$38-1))))</f>
        <v>---</v>
      </c>
    </row>
    <row r="39" spans="26:64" ht="16.5" x14ac:dyDescent="0.25">
      <c r="BE39" s="330" t="str">
        <f>$A$10</f>
        <v>Öl-System</v>
      </c>
      <c r="BF39" s="10">
        <f>BF36</f>
        <v>1.93</v>
      </c>
      <c r="BG39" s="10">
        <f t="shared" ref="BG39:BJ39" si="7">BG36</f>
        <v>1.83</v>
      </c>
      <c r="BH39" s="10">
        <f t="shared" si="7"/>
        <v>2.1800000000000002</v>
      </c>
      <c r="BI39" s="10">
        <f t="shared" si="7"/>
        <v>1.95</v>
      </c>
      <c r="BJ39" s="10">
        <f t="shared" si="7"/>
        <v>1.81</v>
      </c>
      <c r="BK39" s="293" t="str">
        <f>IF(OR(EA_WG=FALSE,Tabellen!$BB$16&gt;=Basis_BGF_Grenze),"---",IF(EA_BGF&lt;=Tabellen!$AW$16,BF39,(INDEX(BF39:BJ39,Tabellen!$AX$38)-INDEX(BF39:BJ39,Tabellen!$AX$38-1))/(INDEX(Tabellen!$AW$16:$BA$16,Tabellen!$AX$38)-INDEX(Tabellen!$AW$16:$BA$16,Tabellen!$AX$38-1))*Tabellen!$BB$16+INDEX(BF39:BJ39,Tabellen!$AX$38)-INDEX(Tabellen!$AW$16:$BA$16,Tabellen!$AX$38)*(INDEX(BF39:BJ39,Tabellen!$AX$38)-INDEX(BF39:BJ39,Tabellen!$AX$38-1))/(INDEX(Tabellen!$AW$16:$BA$16,Tabellen!$AX$38)-INDEX(Tabellen!$AW$16:$BA$16,Tabellen!$AX$38-1))))</f>
        <v>---</v>
      </c>
    </row>
    <row r="40" spans="26:64" ht="16.5" x14ac:dyDescent="0.25">
      <c r="BE40" s="330" t="str">
        <f>$A$11</f>
        <v>Pelletsanlage</v>
      </c>
      <c r="BF40" s="288">
        <v>2.0699999999999998</v>
      </c>
      <c r="BG40" s="288">
        <v>1.97</v>
      </c>
      <c r="BH40" s="288">
        <v>2.33</v>
      </c>
      <c r="BI40" s="288">
        <v>2.09</v>
      </c>
      <c r="BJ40" s="288">
        <v>1.94</v>
      </c>
      <c r="BK40" s="293" t="str">
        <f>IF(OR(EA_WG=FALSE,Tabellen!$BB$16&gt;=Basis_BGF_Grenze),"---",IF(EA_BGF&lt;=Tabellen!$AW$16,BF40,(INDEX(BF40:BJ40,Tabellen!$AX$38)-INDEX(BF40:BJ40,Tabellen!$AX$38-1))/(INDEX(Tabellen!$AW$16:$BA$16,Tabellen!$AX$38)-INDEX(Tabellen!$AW$16:$BA$16,Tabellen!$AX$38-1))*Tabellen!$BB$16+INDEX(BF40:BJ40,Tabellen!$AX$38)-INDEX(Tabellen!$AW$16:$BA$16,Tabellen!$AX$38)*(INDEX(BF40:BJ40,Tabellen!$AX$38)-INDEX(BF40:BJ40,Tabellen!$AX$38-1))/(INDEX(Tabellen!$AW$16:$BA$16,Tabellen!$AX$38)-INDEX(Tabellen!$AW$16:$BA$16,Tabellen!$AX$38-1))))</f>
        <v>---</v>
      </c>
    </row>
    <row r="41" spans="26:64" ht="16.5" x14ac:dyDescent="0.25">
      <c r="BE41" s="330" t="str">
        <f>$A$14</f>
        <v>Wärmepumpe (Wasser)</v>
      </c>
      <c r="BF41" s="288">
        <v>0.49</v>
      </c>
      <c r="BG41" s="288">
        <v>0.47</v>
      </c>
      <c r="BH41" s="288">
        <v>1.02</v>
      </c>
      <c r="BI41" s="288">
        <v>0.85</v>
      </c>
      <c r="BJ41" s="288">
        <v>0.75</v>
      </c>
      <c r="BK41" s="293" t="str">
        <f>IF(OR(EA_WG=FALSE,Tabellen!$BB$16&gt;=Basis_BGF_Grenze),"---",IF(EA_BGF&lt;=Tabellen!$AW$16,BF41,(INDEX(BF41:BJ41,Tabellen!$AX$38)-INDEX(BF41:BJ41,Tabellen!$AX$38-1))/(INDEX(Tabellen!$AW$16:$BA$16,Tabellen!$AX$38)-INDEX(Tabellen!$AW$16:$BA$16,Tabellen!$AX$38-1))*Tabellen!$BB$16+INDEX(BF41:BJ41,Tabellen!$AX$38)-INDEX(Tabellen!$AW$16:$BA$16,Tabellen!$AX$38)*(INDEX(BF41:BJ41,Tabellen!$AX$38)-INDEX(BF41:BJ41,Tabellen!$AX$38-1))/(INDEX(Tabellen!$AW$16:$BA$16,Tabellen!$AX$38)-INDEX(Tabellen!$AW$16:$BA$16,Tabellen!$AX$38-1))))</f>
        <v>---</v>
      </c>
    </row>
    <row r="42" spans="26:64" ht="16.5" x14ac:dyDescent="0.25">
      <c r="BE42" s="330" t="str">
        <f>$A$15</f>
        <v>Wärmepumpe (Luft)</v>
      </c>
      <c r="BF42" s="288">
        <v>0.49</v>
      </c>
      <c r="BG42" s="288">
        <v>0.47</v>
      </c>
      <c r="BH42" s="288">
        <v>1.05</v>
      </c>
      <c r="BI42" s="288">
        <v>0.87</v>
      </c>
      <c r="BJ42" s="288">
        <v>0.77</v>
      </c>
      <c r="BK42" s="293" t="str">
        <f>IF(OR(EA_WG=FALSE,Tabellen!$BB$16&gt;=Basis_BGF_Grenze),"---",IF(EA_BGF&lt;=Tabellen!$AW$16,BF42,(INDEX(BF42:BJ42,Tabellen!$AX$38)-INDEX(BF42:BJ42,Tabellen!$AX$38-1))/(INDEX(Tabellen!$AW$16:$BA$16,Tabellen!$AX$38)-INDEX(Tabellen!$AW$16:$BA$16,Tabellen!$AX$38-1))*Tabellen!$BB$16+INDEX(BF42:BJ42,Tabellen!$AX$38)-INDEX(Tabellen!$AW$16:$BA$16,Tabellen!$AX$38)*(INDEX(BF42:BJ42,Tabellen!$AX$38)-INDEX(BF42:BJ42,Tabellen!$AX$38-1))/(INDEX(Tabellen!$AW$16:$BA$16,Tabellen!$AX$38)-INDEX(Tabellen!$AW$16:$BA$16,Tabellen!$AX$38-1))))</f>
        <v>---</v>
      </c>
    </row>
    <row r="43" spans="26:64" ht="16.5" x14ac:dyDescent="0.25">
      <c r="BE43" s="330" t="str">
        <f>$A$16</f>
        <v>Wärmepumpe (Sole)</v>
      </c>
      <c r="BF43" s="288">
        <v>0.53</v>
      </c>
      <c r="BG43" s="288">
        <v>0.5</v>
      </c>
      <c r="BH43" s="10">
        <f>BH42</f>
        <v>1.05</v>
      </c>
      <c r="BI43" s="10">
        <f>BI42</f>
        <v>0.87</v>
      </c>
      <c r="BJ43" s="10">
        <f>BJ42</f>
        <v>0.77</v>
      </c>
      <c r="BK43" s="293" t="str">
        <f>IF(OR(EA_WG=FALSE,Tabellen!$BB$16&gt;=Basis_BGF_Grenze),"---",IF(EA_BGF&lt;=Tabellen!$AW$16,BF43,(INDEX(BF43:BJ43,Tabellen!$AX$38)-INDEX(BF43:BJ43,Tabellen!$AX$38-1))/(INDEX(Tabellen!$AW$16:$BA$16,Tabellen!$AX$38)-INDEX(Tabellen!$AW$16:$BA$16,Tabellen!$AX$38-1))*Tabellen!$BB$16+INDEX(BF43:BJ43,Tabellen!$AX$38)-INDEX(Tabellen!$AW$16:$BA$16,Tabellen!$AX$38)*(INDEX(BF43:BJ43,Tabellen!$AX$38)-INDEX(BF43:BJ43,Tabellen!$AX$38-1))/(INDEX(Tabellen!$AW$16:$BA$16,Tabellen!$AX$38)-INDEX(Tabellen!$AW$16:$BA$16,Tabellen!$AX$38-1))))</f>
        <v>---</v>
      </c>
    </row>
    <row r="45" spans="26:64" ht="16.5" x14ac:dyDescent="0.25">
      <c r="BE45" s="245" t="s">
        <v>333</v>
      </c>
    </row>
    <row r="46" spans="26:64" ht="16.5" x14ac:dyDescent="0.25">
      <c r="BE46" s="289" t="s">
        <v>113</v>
      </c>
      <c r="BF46" s="289" t="s">
        <v>242</v>
      </c>
      <c r="BG46" s="289" t="s">
        <v>241</v>
      </c>
      <c r="BH46" s="289" t="s">
        <v>243</v>
      </c>
      <c r="BI46" s="289" t="s">
        <v>244</v>
      </c>
      <c r="BJ46" s="289" t="s">
        <v>245</v>
      </c>
      <c r="BK46" s="289" t="s">
        <v>20</v>
      </c>
      <c r="BL46" s="289" t="s">
        <v>335</v>
      </c>
    </row>
    <row r="47" spans="26:64" ht="16.5" x14ac:dyDescent="0.25">
      <c r="BE47" s="287" t="s">
        <v>56</v>
      </c>
      <c r="BF47" s="288">
        <v>157.56</v>
      </c>
      <c r="BG47" s="288">
        <v>206.36</v>
      </c>
      <c r="BH47" s="288">
        <v>672.51</v>
      </c>
      <c r="BI47" s="288">
        <v>1417.03</v>
      </c>
      <c r="BJ47" s="288">
        <v>4273.12</v>
      </c>
      <c r="BK47" s="288">
        <v>200</v>
      </c>
      <c r="BL47" s="82"/>
    </row>
    <row r="48" spans="26:64" ht="16.5" x14ac:dyDescent="0.25">
      <c r="BE48" s="330" t="str">
        <f>$A$5</f>
        <v>Flüssiggasanlage</v>
      </c>
      <c r="BF48" s="10">
        <f>BF49</f>
        <v>0.37</v>
      </c>
      <c r="BG48" s="10">
        <f t="shared" ref="BG48" si="8">BG49</f>
        <v>0.39</v>
      </c>
      <c r="BH48" s="10">
        <f t="shared" ref="BH48" si="9">BH49</f>
        <v>1.53</v>
      </c>
      <c r="BI48" s="10">
        <f t="shared" ref="BI48" si="10">BI49</f>
        <v>1.18</v>
      </c>
      <c r="BJ48" s="10">
        <f t="shared" ref="BJ48" si="11">BJ49</f>
        <v>1.41</v>
      </c>
      <c r="BK48" s="293" t="str">
        <f>IF(OR(EA_WG=FALSE,Tabellen!$BB$16&gt;=Basis_BGF_Grenze),"---",IF(EA_BGF&lt;=Tabellen!$AW$16,BF48,(INDEX(BF48:BJ48,Tabellen!$AX$38)-INDEX(BF48:BJ48,Tabellen!$AX$38-1))/(INDEX(Tabellen!$AW$16:$BA$16,Tabellen!$AX$38)-INDEX(Tabellen!$AW$16:$BA$16,Tabellen!$AX$38-1))*Tabellen!$BB$16+INDEX(BF48:BJ48,Tabellen!$AX$38)-INDEX(Tabellen!$AW$16:$BA$16,Tabellen!$AX$38)*(INDEX(BF48:BJ48,Tabellen!$AX$38)-INDEX(BF48:BJ48,Tabellen!$AX$38-1))/(INDEX(Tabellen!$AW$16:$BA$16,Tabellen!$AX$38)-INDEX(Tabellen!$AW$16:$BA$16,Tabellen!$AX$38-1))))</f>
        <v>---</v>
      </c>
      <c r="BL48" s="316">
        <f t="shared" ref="BL48:BL56" si="12">IF(EA_TSA_Status=FALSE,1,BK48/BK35)</f>
        <v>1</v>
      </c>
    </row>
    <row r="49" spans="57:64" ht="16.5" x14ac:dyDescent="0.25">
      <c r="BE49" s="330" t="str">
        <f>$A$6</f>
        <v>Gas-System</v>
      </c>
      <c r="BF49" s="288">
        <v>0.37</v>
      </c>
      <c r="BG49" s="288">
        <v>0.39</v>
      </c>
      <c r="BH49" s="288">
        <v>1.53</v>
      </c>
      <c r="BI49" s="288">
        <v>1.18</v>
      </c>
      <c r="BJ49" s="288">
        <v>1.41</v>
      </c>
      <c r="BK49" s="293" t="str">
        <f>IF(OR(EA_WG=FALSE,Tabellen!$BB$16&gt;=Basis_BGF_Grenze),"---",IF(EA_BGF&lt;=Tabellen!$AW$16,BF49,(INDEX(BF49:BJ49,Tabellen!$AX$38)-INDEX(BF49:BJ49,Tabellen!$AX$38-1))/(INDEX(Tabellen!$AW$16:$BA$16,Tabellen!$AX$38)-INDEX(Tabellen!$AW$16:$BA$16,Tabellen!$AX$38-1))*Tabellen!$BB$16+INDEX(BF49:BJ49,Tabellen!$AX$38)-INDEX(Tabellen!$AW$16:$BA$16,Tabellen!$AX$38)*(INDEX(BF49:BJ49,Tabellen!$AX$38)-INDEX(BF49:BJ49,Tabellen!$AX$38-1))/(INDEX(Tabellen!$AW$16:$BA$16,Tabellen!$AX$38)-INDEX(Tabellen!$AW$16:$BA$16,Tabellen!$AX$38-1))))</f>
        <v>---</v>
      </c>
      <c r="BL49" s="316">
        <f t="shared" si="12"/>
        <v>1</v>
      </c>
    </row>
    <row r="50" spans="57:64" ht="16.5" x14ac:dyDescent="0.25">
      <c r="BE50" s="330" t="str">
        <f>$A$8</f>
        <v>Nah- /Fernwärme (ern.)</v>
      </c>
      <c r="BF50" s="288">
        <v>0.35</v>
      </c>
      <c r="BG50" s="288">
        <v>0.37</v>
      </c>
      <c r="BH50" s="288">
        <v>1.46</v>
      </c>
      <c r="BI50" s="288">
        <v>1.1399999999999999</v>
      </c>
      <c r="BJ50" s="288">
        <v>1.39</v>
      </c>
      <c r="BK50" s="293" t="str">
        <f>IF(OR(EA_WG=FALSE,Tabellen!$BB$16&gt;=Basis_BGF_Grenze),"---",IF(EA_BGF&lt;=Tabellen!$AW$16,BF50,(INDEX(BF50:BJ50,Tabellen!$AX$38)-INDEX(BF50:BJ50,Tabellen!$AX$38-1))/(INDEX(Tabellen!$AW$16:$BA$16,Tabellen!$AX$38)-INDEX(Tabellen!$AW$16:$BA$16,Tabellen!$AX$38-1))*Tabellen!$BB$16+INDEX(BF50:BJ50,Tabellen!$AX$38)-INDEX(Tabellen!$AW$16:$BA$16,Tabellen!$AX$38)*(INDEX(BF50:BJ50,Tabellen!$AX$38)-INDEX(BF50:BJ50,Tabellen!$AX$38-1))/(INDEX(Tabellen!$AW$16:$BA$16,Tabellen!$AX$38)-INDEX(Tabellen!$AW$16:$BA$16,Tabellen!$AX$38-1))))</f>
        <v>---</v>
      </c>
      <c r="BL50" s="316">
        <f t="shared" si="12"/>
        <v>1</v>
      </c>
    </row>
    <row r="51" spans="57:64" ht="16.5" x14ac:dyDescent="0.25">
      <c r="BE51" s="330" t="str">
        <f>$A$9</f>
        <v>Nah- /Fernwärme (n.ern.)</v>
      </c>
      <c r="BF51" s="288">
        <v>0.35</v>
      </c>
      <c r="BG51" s="288">
        <v>0.37</v>
      </c>
      <c r="BH51" s="288">
        <v>1.46</v>
      </c>
      <c r="BI51" s="288">
        <v>1.1399999999999999</v>
      </c>
      <c r="BJ51" s="288">
        <v>1.39</v>
      </c>
      <c r="BK51" s="293" t="str">
        <f>IF(OR(EA_WG=FALSE,Tabellen!$BB$16&gt;=Basis_BGF_Grenze),"---",IF(EA_BGF&lt;=Tabellen!$AW$16,BF51,(INDEX(BF51:BJ51,Tabellen!$AX$38)-INDEX(BF51:BJ51,Tabellen!$AX$38-1))/(INDEX(Tabellen!$AW$16:$BA$16,Tabellen!$AX$38)-INDEX(Tabellen!$AW$16:$BA$16,Tabellen!$AX$38-1))*Tabellen!$BB$16+INDEX(BF51:BJ51,Tabellen!$AX$38)-INDEX(Tabellen!$AW$16:$BA$16,Tabellen!$AX$38)*(INDEX(BF51:BJ51,Tabellen!$AX$38)-INDEX(BF51:BJ51,Tabellen!$AX$38-1))/(INDEX(Tabellen!$AW$16:$BA$16,Tabellen!$AX$38)-INDEX(Tabellen!$AW$16:$BA$16,Tabellen!$AX$38-1))))</f>
        <v>---</v>
      </c>
      <c r="BL51" s="316">
        <f t="shared" si="12"/>
        <v>1</v>
      </c>
    </row>
    <row r="52" spans="57:64" ht="16.5" x14ac:dyDescent="0.25">
      <c r="BE52" s="330" t="str">
        <f>$A$10</f>
        <v>Öl-System</v>
      </c>
      <c r="BF52" s="10">
        <f>BF49</f>
        <v>0.37</v>
      </c>
      <c r="BG52" s="10">
        <f t="shared" ref="BG52:BJ52" si="13">BG49</f>
        <v>0.39</v>
      </c>
      <c r="BH52" s="10">
        <f t="shared" si="13"/>
        <v>1.53</v>
      </c>
      <c r="BI52" s="10">
        <f t="shared" si="13"/>
        <v>1.18</v>
      </c>
      <c r="BJ52" s="10">
        <f t="shared" si="13"/>
        <v>1.41</v>
      </c>
      <c r="BK52" s="293" t="str">
        <f>IF(OR(EA_WG=FALSE,Tabellen!$BB$16&gt;=Basis_BGF_Grenze),"---",IF(EA_BGF&lt;=Tabellen!$AW$16,BF52,(INDEX(BF52:BJ52,Tabellen!$AX$38)-INDEX(BF52:BJ52,Tabellen!$AX$38-1))/(INDEX(Tabellen!$AW$16:$BA$16,Tabellen!$AX$38)-INDEX(Tabellen!$AW$16:$BA$16,Tabellen!$AX$38-1))*Tabellen!$BB$16+INDEX(BF52:BJ52,Tabellen!$AX$38)-INDEX(Tabellen!$AW$16:$BA$16,Tabellen!$AX$38)*(INDEX(BF52:BJ52,Tabellen!$AX$38)-INDEX(BF52:BJ52,Tabellen!$AX$38-1))/(INDEX(Tabellen!$AW$16:$BA$16,Tabellen!$AX$38)-INDEX(Tabellen!$AW$16:$BA$16,Tabellen!$AX$38-1))))</f>
        <v>---</v>
      </c>
      <c r="BL52" s="316">
        <f t="shared" si="12"/>
        <v>1</v>
      </c>
    </row>
    <row r="53" spans="57:64" ht="16.5" x14ac:dyDescent="0.25">
      <c r="BE53" s="330" t="str">
        <f>$A$11</f>
        <v>Pelletsanlage</v>
      </c>
      <c r="BF53" s="288">
        <v>0.36</v>
      </c>
      <c r="BG53" s="288">
        <v>0.39</v>
      </c>
      <c r="BH53" s="288">
        <v>1.65</v>
      </c>
      <c r="BI53" s="288">
        <v>1.28</v>
      </c>
      <c r="BJ53" s="288">
        <v>1.53</v>
      </c>
      <c r="BK53" s="293" t="str">
        <f>IF(OR(EA_WG=FALSE,Tabellen!$BB$16&gt;=Basis_BGF_Grenze),"---",IF(EA_BGF&lt;=Tabellen!$AW$16,BF53,(INDEX(BF53:BJ53,Tabellen!$AX$38)-INDEX(BF53:BJ53,Tabellen!$AX$38-1))/(INDEX(Tabellen!$AW$16:$BA$16,Tabellen!$AX$38)-INDEX(Tabellen!$AW$16:$BA$16,Tabellen!$AX$38-1))*Tabellen!$BB$16+INDEX(BF53:BJ53,Tabellen!$AX$38)-INDEX(Tabellen!$AW$16:$BA$16,Tabellen!$AX$38)*(INDEX(BF53:BJ53,Tabellen!$AX$38)-INDEX(BF53:BJ53,Tabellen!$AX$38-1))/(INDEX(Tabellen!$AW$16:$BA$16,Tabellen!$AX$38)-INDEX(Tabellen!$AW$16:$BA$16,Tabellen!$AX$38-1))))</f>
        <v>---</v>
      </c>
      <c r="BL53" s="316">
        <f t="shared" si="12"/>
        <v>1</v>
      </c>
    </row>
    <row r="54" spans="57:64" ht="16.5" x14ac:dyDescent="0.25">
      <c r="BE54" s="330" t="str">
        <f>$A$14</f>
        <v>Wärmepumpe (Wasser)</v>
      </c>
      <c r="BF54" s="288">
        <v>0.18</v>
      </c>
      <c r="BG54" s="288">
        <v>0.16</v>
      </c>
      <c r="BH54" s="288">
        <v>0.8</v>
      </c>
      <c r="BI54" s="288">
        <v>0.56999999999999995</v>
      </c>
      <c r="BJ54" s="288">
        <v>0.61</v>
      </c>
      <c r="BK54" s="293" t="str">
        <f>IF(OR(EA_WG=FALSE,Tabellen!$BB$16&gt;=Basis_BGF_Grenze),"---",IF(EA_BGF&lt;=Tabellen!$AW$16,BF54,(INDEX(BF54:BJ54,Tabellen!$AX$38)-INDEX(BF54:BJ54,Tabellen!$AX$38-1))/(INDEX(Tabellen!$AW$16:$BA$16,Tabellen!$AX$38)-INDEX(Tabellen!$AW$16:$BA$16,Tabellen!$AX$38-1))*Tabellen!$BB$16+INDEX(BF54:BJ54,Tabellen!$AX$38)-INDEX(Tabellen!$AW$16:$BA$16,Tabellen!$AX$38)*(INDEX(BF54:BJ54,Tabellen!$AX$38)-INDEX(BF54:BJ54,Tabellen!$AX$38-1))/(INDEX(Tabellen!$AW$16:$BA$16,Tabellen!$AX$38)-INDEX(Tabellen!$AW$16:$BA$16,Tabellen!$AX$38-1))))</f>
        <v>---</v>
      </c>
      <c r="BL54" s="316">
        <f t="shared" si="12"/>
        <v>1</v>
      </c>
    </row>
    <row r="55" spans="57:64" ht="16.5" x14ac:dyDescent="0.25">
      <c r="BE55" s="330" t="str">
        <f>$A$15</f>
        <v>Wärmepumpe (Luft)</v>
      </c>
      <c r="BF55" s="288">
        <v>0.19</v>
      </c>
      <c r="BG55" s="288">
        <v>0.18</v>
      </c>
      <c r="BH55" s="288">
        <v>0.83</v>
      </c>
      <c r="BI55" s="288">
        <v>0.6</v>
      </c>
      <c r="BJ55" s="288">
        <v>0.63</v>
      </c>
      <c r="BK55" s="293" t="str">
        <f>IF(OR(EA_WG=FALSE,Tabellen!$BB$16&gt;=Basis_BGF_Grenze),"---",IF(EA_BGF&lt;=Tabellen!$AW$16,BF55,(INDEX(BF55:BJ55,Tabellen!$AX$38)-INDEX(BF55:BJ55,Tabellen!$AX$38-1))/(INDEX(Tabellen!$AW$16:$BA$16,Tabellen!$AX$38)-INDEX(Tabellen!$AW$16:$BA$16,Tabellen!$AX$38-1))*Tabellen!$BB$16+INDEX(BF55:BJ55,Tabellen!$AX$38)-INDEX(Tabellen!$AW$16:$BA$16,Tabellen!$AX$38)*(INDEX(BF55:BJ55,Tabellen!$AX$38)-INDEX(BF55:BJ55,Tabellen!$AX$38-1))/(INDEX(Tabellen!$AW$16:$BA$16,Tabellen!$AX$38)-INDEX(Tabellen!$AW$16:$BA$16,Tabellen!$AX$38-1))))</f>
        <v>---</v>
      </c>
      <c r="BL55" s="316">
        <f t="shared" si="12"/>
        <v>1</v>
      </c>
    </row>
    <row r="56" spans="57:64" ht="16.5" x14ac:dyDescent="0.25">
      <c r="BE56" s="330" t="str">
        <f>$A$16</f>
        <v>Wärmepumpe (Sole)</v>
      </c>
      <c r="BF56" s="288">
        <v>0.18</v>
      </c>
      <c r="BG56" s="288">
        <v>0.17</v>
      </c>
      <c r="BH56" s="10">
        <f>BH55</f>
        <v>0.83</v>
      </c>
      <c r="BI56" s="10">
        <f>BI55</f>
        <v>0.6</v>
      </c>
      <c r="BJ56" s="10">
        <f>BJ55</f>
        <v>0.63</v>
      </c>
      <c r="BK56" s="293" t="str">
        <f>IF(OR(EA_WG=FALSE,Tabellen!$BB$16&gt;=Basis_BGF_Grenze),"---",IF(EA_BGF&lt;=Tabellen!$AW$16,BF56,(INDEX(BF56:BJ56,Tabellen!$AX$38)-INDEX(BF56:BJ56,Tabellen!$AX$38-1))/(INDEX(Tabellen!$AW$16:$BA$16,Tabellen!$AX$38)-INDEX(Tabellen!$AW$16:$BA$16,Tabellen!$AX$38-1))*Tabellen!$BB$16+INDEX(BF56:BJ56,Tabellen!$AX$38)-INDEX(Tabellen!$AW$16:$BA$16,Tabellen!$AX$38)*(INDEX(BF56:BJ56,Tabellen!$AX$38)-INDEX(BF56:BJ56,Tabellen!$AX$38-1))/(INDEX(Tabellen!$AW$16:$BA$16,Tabellen!$AX$38)-INDEX(Tabellen!$AW$16:$BA$16,Tabellen!$AX$38-1))))</f>
        <v>---</v>
      </c>
      <c r="BL56" s="316">
        <f t="shared" si="12"/>
        <v>1</v>
      </c>
    </row>
    <row r="60" spans="57:64" x14ac:dyDescent="0.25">
      <c r="BF60" s="314"/>
      <c r="BG60" s="314"/>
      <c r="BH60" s="314"/>
      <c r="BI60" s="314"/>
      <c r="BJ60" s="314"/>
    </row>
    <row r="61" spans="57:64" x14ac:dyDescent="0.25">
      <c r="BF61" s="314"/>
      <c r="BG61" s="314"/>
      <c r="BH61" s="314"/>
      <c r="BI61" s="314"/>
      <c r="BJ61" s="314"/>
    </row>
    <row r="62" spans="57:64" x14ac:dyDescent="0.25">
      <c r="BF62" s="314"/>
      <c r="BG62" s="314"/>
      <c r="BH62" s="314"/>
      <c r="BI62" s="314"/>
      <c r="BJ62" s="314"/>
    </row>
    <row r="63" spans="57:64" x14ac:dyDescent="0.25">
      <c r="BF63" s="314"/>
      <c r="BG63" s="314"/>
      <c r="BH63" s="314"/>
      <c r="BI63" s="314"/>
      <c r="BJ63" s="314"/>
    </row>
    <row r="64" spans="57:64" x14ac:dyDescent="0.25">
      <c r="BF64" s="314"/>
      <c r="BG64" s="314"/>
      <c r="BH64" s="314"/>
      <c r="BI64" s="314"/>
      <c r="BJ64" s="314"/>
    </row>
    <row r="65" spans="58:62" x14ac:dyDescent="0.25">
      <c r="BF65" s="314"/>
      <c r="BG65" s="314"/>
      <c r="BH65" s="314"/>
      <c r="BI65" s="314"/>
      <c r="BJ65" s="314"/>
    </row>
    <row r="66" spans="58:62" x14ac:dyDescent="0.25">
      <c r="BF66" s="314"/>
      <c r="BG66" s="314"/>
      <c r="BH66" s="314"/>
      <c r="BI66" s="314"/>
      <c r="BJ66" s="314"/>
    </row>
    <row r="67" spans="58:62" x14ac:dyDescent="0.25">
      <c r="BF67" s="314"/>
      <c r="BG67" s="314"/>
      <c r="BH67" s="314"/>
      <c r="BI67" s="314"/>
      <c r="BJ67" s="314"/>
    </row>
    <row r="68" spans="58:62" x14ac:dyDescent="0.25">
      <c r="BF68" s="314"/>
    </row>
    <row r="69" spans="58:62" x14ac:dyDescent="0.25">
      <c r="BF69" s="314"/>
    </row>
    <row r="70" spans="58:62" x14ac:dyDescent="0.25">
      <c r="BF70" s="314"/>
    </row>
    <row r="71" spans="58:62" x14ac:dyDescent="0.25">
      <c r="BF71" s="314"/>
    </row>
    <row r="72" spans="58:62" x14ac:dyDescent="0.25">
      <c r="BF72" s="314"/>
    </row>
    <row r="73" spans="58:62" x14ac:dyDescent="0.25">
      <c r="BF73" s="314"/>
    </row>
    <row r="74" spans="58:62" x14ac:dyDescent="0.25">
      <c r="BF74" s="314"/>
    </row>
    <row r="75" spans="58:62" x14ac:dyDescent="0.25">
      <c r="BF75" s="314"/>
    </row>
  </sheetData>
  <sortState xmlns:xlrd2="http://schemas.microsoft.com/office/spreadsheetml/2017/richdata2" ref="AK29:AK41">
    <sortCondition ref="AK29"/>
  </sortState>
  <mergeCells count="4">
    <mergeCell ref="F18:H18"/>
    <mergeCell ref="R14:T14"/>
    <mergeCell ref="U14:V14"/>
    <mergeCell ref="L17:N17"/>
  </mergeCells>
  <pageMargins left="0.7" right="0.7" top="0.78740157499999996" bottom="0.78740157499999996"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tabColor theme="7"/>
  </sheetPr>
  <dimension ref="A1:N18"/>
  <sheetViews>
    <sheetView workbookViewId="0">
      <selection activeCell="I6" sqref="I6"/>
    </sheetView>
  </sheetViews>
  <sheetFormatPr baseColWidth="10" defaultRowHeight="15" x14ac:dyDescent="0.25"/>
  <cols>
    <col min="1" max="1" width="34.5703125" customWidth="1"/>
    <col min="2" max="2" width="1.42578125" customWidth="1"/>
    <col min="3" max="3" width="35.140625" customWidth="1"/>
    <col min="4" max="4" width="1.42578125" customWidth="1"/>
    <col min="5" max="5" width="43.5703125" customWidth="1"/>
    <col min="6" max="6" width="1.42578125" customWidth="1"/>
    <col min="7" max="7" width="50.42578125" customWidth="1"/>
    <col min="8" max="8" width="1.42578125" customWidth="1"/>
    <col min="9" max="9" width="46.5703125" customWidth="1"/>
  </cols>
  <sheetData>
    <row r="1" spans="1:14" ht="25.5" x14ac:dyDescent="0.35">
      <c r="A1" s="230" t="s">
        <v>251</v>
      </c>
      <c r="C1" s="230" t="s">
        <v>252</v>
      </c>
      <c r="E1" s="230" t="s">
        <v>261</v>
      </c>
      <c r="G1" s="230" t="s">
        <v>263</v>
      </c>
      <c r="I1" s="230" t="s">
        <v>262</v>
      </c>
    </row>
    <row r="3" spans="1:14" ht="16.5" x14ac:dyDescent="0.25">
      <c r="A3" s="7" t="s">
        <v>255</v>
      </c>
      <c r="C3" s="7" t="s">
        <v>149</v>
      </c>
      <c r="E3" s="7" t="s">
        <v>84</v>
      </c>
      <c r="G3" s="7" t="s">
        <v>288</v>
      </c>
      <c r="I3" s="7" t="s">
        <v>205</v>
      </c>
    </row>
    <row r="4" spans="1:14" s="12" customFormat="1" ht="99" x14ac:dyDescent="0.25">
      <c r="A4" s="177" t="s">
        <v>276</v>
      </c>
      <c r="C4" s="177" t="s">
        <v>265</v>
      </c>
      <c r="E4" s="177" t="s">
        <v>85</v>
      </c>
      <c r="G4" s="264" t="str">
        <f>"Die CO2-Emissionen veranschaulichen den ökologischen Fußabdruck der Energieverbräuche über den Betrachtungszeitraum von "&amp;Basis_Betrachtungszeitraum&amp;" Jahren. Sie werden derzeit nicht mit Kosten berücksichtigt. "&amp;IF(EA_PV_Status=TRUE,"Die PV wurde dabei vollständig (sowohl Eigenverbrauch als auch Export) in den Energiekosten berücksichtigt. ","")</f>
        <v xml:space="preserve">Die CO2-Emissionen veranschaulichen den ökologischen Fußabdruck der Energieverbräuche über den Betrachtungszeitraum von 20 Jahren. Sie werden derzeit nicht mit Kosten berücksichtigt. </v>
      </c>
      <c r="I4" s="177" t="s">
        <v>206</v>
      </c>
    </row>
    <row r="5" spans="1:14" s="12" customFormat="1" ht="82.5" x14ac:dyDescent="0.25">
      <c r="A5" s="177" t="s">
        <v>339</v>
      </c>
      <c r="E5" s="177" t="s">
        <v>86</v>
      </c>
      <c r="G5" s="264" t="str">
        <f>IF(EA_WG=TRUE,"Bei Wohngebäuden ist eine Modifikation nicht möglich und auch nicht nötig: Die Annahmen im Energieausweis sind realistische Annahmen.","Bei Nicht-Wohngebäuden kann eine vom Energieausweis abweichende Berechnung sinnvoll sein - Sie können den Heizwärmebedarf und/oder den Warmwasserwärmebedarf anpassen. Die Berechnung muss begelegt werden.")</f>
        <v>Bei Nicht-Wohngebäuden kann eine vom Energieausweis abweichende Berechnung sinnvoll sein - Sie können den Heizwärmebedarf und/oder den Warmwasserwärmebedarf anpassen. Die Berechnung muss begelegt werden.</v>
      </c>
      <c r="I5" s="177" t="s">
        <v>204</v>
      </c>
    </row>
    <row r="6" spans="1:14" s="12" customFormat="1" ht="66" x14ac:dyDescent="0.25">
      <c r="A6" s="177" t="s">
        <v>220</v>
      </c>
      <c r="E6" s="177" t="s">
        <v>93</v>
      </c>
      <c r="G6" s="264" t="str">
        <f>IF(OR(EA_BGF&gt;=Basis_BGF_Grenze,EA_WG=FALSE),"Die Energiepreise "&amp;IF(EA_WG=TRUE,"(brutto)","(netto)")&amp;" können angepasst werden - wird ein Wert verändert, müssen alle angepasst werden. Gegebenenfalls sind Nachweise für deutlich bessere Tarife beizulegen.","Bei Wohngebäuden mit einer Brutto-Grundfläche von kleiner als 3.000 m² ist eine Anpassung der Energiepreise nicht möglich.")</f>
        <v>Die Energiepreise (netto) können angepasst werden - wird ein Wert verändert, müssen alle angepasst werden. Gegebenenfalls sind Nachweise für deutlich bessere Tarife beizulegen.</v>
      </c>
      <c r="I6" s="222" t="s">
        <v>225</v>
      </c>
    </row>
    <row r="7" spans="1:14" s="12" customFormat="1" ht="73.5" customHeight="1" x14ac:dyDescent="0.25">
      <c r="A7" s="177" t="s">
        <v>264</v>
      </c>
      <c r="E7" s="177" t="s">
        <v>338</v>
      </c>
      <c r="G7" s="264" t="str">
        <f>IF(OR(EA_BGF&gt;=Basis_BGF_Grenze,EA_WG=FALSE),"Die Betriebskosten "&amp;IF(EA_WG=TRUE,"(brutto)","(netto)")&amp;" können angepasst werden - wird ein Wert verändert, müssen alle angepasst werden. Gegebenenfalls sind Nachweise beizulegen.","Bei Wohngebäuden mit einer Brutto-Grundfläche von kleiner als "&amp;Basis_BGF_Grenze&amp;" m² ist eine Anpassung der Energiepreise nicht möglich.")</f>
        <v>Die Betriebskosten (netto) können angepasst werden - wird ein Wert verändert, müssen alle angepasst werden. Gegebenenfalls sind Nachweise beizulegen.</v>
      </c>
      <c r="I7" s="222" t="s">
        <v>280</v>
      </c>
    </row>
    <row r="8" spans="1:14" s="12" customFormat="1" ht="132" x14ac:dyDescent="0.25">
      <c r="A8" s="177" t="s">
        <v>289</v>
      </c>
      <c r="E8" s="243"/>
      <c r="G8" s="264" t="str">
        <f>"Die Energieaufwandszahlen "&amp;IF(OR(EA_WG=FALSE,EA_BGF&gt;Basis_BGF_Grenze),"müssen","können")&amp;" modifiziert werden - wird allerdings eine verändert, müssen alle angepasst werden; dies kann z.B. durch Berechnung mehrerer Energieausweise mit allen gelisteten Systemen erfolgen."</f>
        <v>Die Energieaufwandszahlen müssen modifiziert werden - wird allerdings eine verändert, müssen alle angepasst werden; dies kann z.B. durch Berechnung mehrerer Energieausweise mit allen gelisteten Systemen erfolgen.</v>
      </c>
    </row>
    <row r="9" spans="1:14" s="12" customFormat="1" ht="78" customHeight="1" x14ac:dyDescent="0.25">
      <c r="A9" s="177" t="s">
        <v>336</v>
      </c>
      <c r="E9" s="177" t="s">
        <v>271</v>
      </c>
    </row>
    <row r="10" spans="1:14" s="12" customFormat="1" ht="69" customHeight="1" x14ac:dyDescent="0.25">
      <c r="E10" s="264" t="str">
        <f>"wird auf Basis von "&amp;(1-Basis_Foerderung)*100&amp;" v.H. der Invest-Kosten berechnet und "</f>
        <v xml:space="preserve">wird auf Basis von 80 v.H. der Invest-Kosten berechnet und </v>
      </c>
    </row>
    <row r="11" spans="1:14" s="12" customFormat="1" ht="69" customHeight="1" x14ac:dyDescent="0.25">
      <c r="E11" s="264" t="str">
        <f>"beinhaltet ggf. anfallende Restwerte und Wiederbeschaffungkosten über den Zeitraum von "&amp;Basis_Betrachtungszeitraum&amp;" Jahren. Dabei sind sämtliche Kosten "&amp;IF(EA_Kategorie_Select=1,"für Wohnbauten inklusive Steuern (brutto), für Nicht-Wohnbauten exklusive Steuern (netto)",IF(EA_WG=TRUE,"inklusive Steuern (brutto)","exklusive Steuern (netto)"))&amp;" anzugeben."</f>
        <v>beinhaltet ggf. anfallende Restwerte und Wiederbeschaffungkosten über den Zeitraum von 20 Jahren. Dabei sind sämtliche Kosten für Wohnbauten inklusive Steuern (brutto), für Nicht-Wohnbauten exklusive Steuern (netto) anzugeben.</v>
      </c>
    </row>
    <row r="12" spans="1:14" s="12" customFormat="1" x14ac:dyDescent="0.25">
      <c r="E12" s="143"/>
      <c r="F12" s="143"/>
      <c r="G12" s="143"/>
    </row>
    <row r="13" spans="1:14" s="12" customFormat="1" x14ac:dyDescent="0.25"/>
    <row r="14" spans="1:14" s="12" customFormat="1" x14ac:dyDescent="0.25">
      <c r="N14" s="144"/>
    </row>
    <row r="15" spans="1:14" s="12" customFormat="1" x14ac:dyDescent="0.25"/>
    <row r="16" spans="1:14" s="12" customFormat="1" x14ac:dyDescent="0.25"/>
    <row r="17" s="12" customFormat="1" x14ac:dyDescent="0.25"/>
    <row r="18" s="12" customFormat="1" x14ac:dyDescent="0.25"/>
  </sheetData>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8">
    <pageSetUpPr fitToPage="1"/>
  </sheetPr>
  <dimension ref="A1:K52"/>
  <sheetViews>
    <sheetView workbookViewId="0">
      <selection activeCell="C18" sqref="C18"/>
    </sheetView>
  </sheetViews>
  <sheetFormatPr baseColWidth="10" defaultRowHeight="15" x14ac:dyDescent="0.25"/>
  <cols>
    <col min="1" max="1" width="2.7109375" customWidth="1"/>
    <col min="2" max="6" width="18.5703125" customWidth="1"/>
    <col min="7" max="9" width="8.85546875" customWidth="1"/>
  </cols>
  <sheetData>
    <row r="1" spans="1:6" x14ac:dyDescent="0.25">
      <c r="A1" s="82"/>
      <c r="B1" s="82"/>
      <c r="C1" s="83" t="s">
        <v>122</v>
      </c>
      <c r="D1" s="82"/>
      <c r="E1" s="83" t="s">
        <v>123</v>
      </c>
      <c r="F1" s="82"/>
    </row>
    <row r="2" spans="1:6" x14ac:dyDescent="0.25">
      <c r="A2" s="82"/>
      <c r="B2" s="82"/>
      <c r="C2" s="82" t="s">
        <v>56</v>
      </c>
      <c r="D2" s="82"/>
      <c r="E2" s="82" t="s">
        <v>56</v>
      </c>
      <c r="F2" s="82"/>
    </row>
    <row r="3" spans="1:6" x14ac:dyDescent="0.25">
      <c r="A3" s="82"/>
      <c r="B3" s="82"/>
      <c r="C3" s="82" t="s">
        <v>99</v>
      </c>
      <c r="D3" s="82" t="s">
        <v>100</v>
      </c>
      <c r="E3" s="82" t="s">
        <v>99</v>
      </c>
      <c r="F3" s="82" t="s">
        <v>100</v>
      </c>
    </row>
    <row r="4" spans="1:6" x14ac:dyDescent="0.25">
      <c r="A4" s="83" t="s">
        <v>191</v>
      </c>
      <c r="B4" s="82"/>
      <c r="C4" s="476" t="s">
        <v>192</v>
      </c>
      <c r="D4" s="478"/>
      <c r="E4" s="476" t="s">
        <v>193</v>
      </c>
      <c r="F4" s="478"/>
    </row>
    <row r="5" spans="1:6" x14ac:dyDescent="0.25">
      <c r="A5" s="82"/>
      <c r="B5" s="82"/>
      <c r="C5" s="82"/>
      <c r="D5" s="82"/>
      <c r="E5" s="82"/>
      <c r="F5" s="82"/>
    </row>
    <row r="6" spans="1:6" x14ac:dyDescent="0.25">
      <c r="A6" s="83" t="s">
        <v>3</v>
      </c>
      <c r="B6" s="82"/>
      <c r="C6" s="82"/>
      <c r="D6" s="82"/>
      <c r="E6" s="82"/>
      <c r="F6" s="82"/>
    </row>
    <row r="7" spans="1:6" x14ac:dyDescent="0.25">
      <c r="A7" s="82"/>
      <c r="B7" s="82" t="s">
        <v>116</v>
      </c>
      <c r="C7" s="479" t="s">
        <v>121</v>
      </c>
      <c r="D7" s="479"/>
      <c r="E7" s="479"/>
      <c r="F7" s="479"/>
    </row>
    <row r="8" spans="1:6" x14ac:dyDescent="0.25">
      <c r="A8" s="82"/>
      <c r="B8" s="82" t="s">
        <v>117</v>
      </c>
      <c r="C8" s="479" t="s">
        <v>121</v>
      </c>
      <c r="D8" s="479"/>
      <c r="E8" s="479"/>
      <c r="F8" s="479"/>
    </row>
    <row r="9" spans="1:6" x14ac:dyDescent="0.25">
      <c r="A9" s="82"/>
      <c r="B9" s="82" t="s">
        <v>118</v>
      </c>
      <c r="C9" s="273" t="s">
        <v>120</v>
      </c>
      <c r="D9" s="273" t="s">
        <v>119</v>
      </c>
      <c r="E9" s="273" t="s">
        <v>120</v>
      </c>
      <c r="F9" s="273" t="s">
        <v>119</v>
      </c>
    </row>
    <row r="10" spans="1:6" x14ac:dyDescent="0.25">
      <c r="A10" s="83" t="s">
        <v>98</v>
      </c>
      <c r="B10" s="83"/>
      <c r="C10" s="82"/>
      <c r="D10" s="82"/>
      <c r="E10" s="82"/>
      <c r="F10" s="82"/>
    </row>
    <row r="11" spans="1:6" x14ac:dyDescent="0.25">
      <c r="A11" s="82"/>
      <c r="B11" s="82"/>
      <c r="C11" s="82"/>
      <c r="D11" s="82"/>
      <c r="E11" s="82"/>
      <c r="F11" s="82"/>
    </row>
    <row r="12" spans="1:6" x14ac:dyDescent="0.25">
      <c r="A12" s="82"/>
      <c r="B12" s="82"/>
      <c r="C12" s="82"/>
      <c r="D12" s="82"/>
      <c r="E12" s="82"/>
      <c r="F12" s="82"/>
    </row>
    <row r="13" spans="1:6" x14ac:dyDescent="0.25">
      <c r="A13" s="82"/>
      <c r="B13" s="82" t="s">
        <v>9</v>
      </c>
      <c r="C13" s="273" t="s">
        <v>101</v>
      </c>
      <c r="D13" s="302" t="s">
        <v>344</v>
      </c>
      <c r="E13" s="302" t="s">
        <v>344</v>
      </c>
      <c r="F13" s="302" t="s">
        <v>344</v>
      </c>
    </row>
    <row r="14" spans="1:6" x14ac:dyDescent="0.25">
      <c r="A14" s="82"/>
      <c r="B14" s="82"/>
      <c r="C14" s="82"/>
      <c r="D14" s="82"/>
      <c r="E14" s="82"/>
      <c r="F14" s="82"/>
    </row>
    <row r="15" spans="1:6" x14ac:dyDescent="0.25">
      <c r="A15" s="82"/>
      <c r="B15" s="82"/>
      <c r="C15" s="82"/>
      <c r="D15" s="82"/>
      <c r="E15" s="82"/>
      <c r="F15" s="82"/>
    </row>
    <row r="16" spans="1:6" x14ac:dyDescent="0.25">
      <c r="A16" s="83" t="s">
        <v>7</v>
      </c>
      <c r="B16" s="83"/>
      <c r="C16" s="82"/>
      <c r="D16" s="82"/>
      <c r="E16" s="82"/>
      <c r="F16" s="82"/>
    </row>
    <row r="17" spans="1:6" x14ac:dyDescent="0.25">
      <c r="A17" s="83"/>
      <c r="B17" s="83" t="s">
        <v>16</v>
      </c>
      <c r="C17" s="82"/>
      <c r="D17" s="82"/>
      <c r="E17" s="82"/>
      <c r="F17" s="82"/>
    </row>
    <row r="18" spans="1:6" x14ac:dyDescent="0.25">
      <c r="A18" s="82"/>
      <c r="B18" s="82" t="s">
        <v>102</v>
      </c>
      <c r="C18" s="273" t="s">
        <v>101</v>
      </c>
      <c r="D18" s="273" t="s">
        <v>103</v>
      </c>
      <c r="E18" s="273" t="s">
        <v>103</v>
      </c>
      <c r="F18" s="273" t="s">
        <v>103</v>
      </c>
    </row>
    <row r="19" spans="1:6" x14ac:dyDescent="0.25">
      <c r="A19" s="82"/>
      <c r="B19" s="82" t="s">
        <v>104</v>
      </c>
      <c r="C19" s="476" t="s">
        <v>101</v>
      </c>
      <c r="D19" s="477"/>
      <c r="E19" s="477"/>
      <c r="F19" s="478"/>
    </row>
    <row r="20" spans="1:6" x14ac:dyDescent="0.25">
      <c r="A20" s="82"/>
      <c r="B20" s="82" t="s">
        <v>1</v>
      </c>
      <c r="C20" s="476" t="s">
        <v>101</v>
      </c>
      <c r="D20" s="477"/>
      <c r="E20" s="477"/>
      <c r="F20" s="478"/>
    </row>
    <row r="21" spans="1:6" x14ac:dyDescent="0.25">
      <c r="A21" s="82"/>
      <c r="B21" s="83" t="s">
        <v>105</v>
      </c>
      <c r="C21" s="82"/>
      <c r="D21" s="82"/>
      <c r="E21" s="82"/>
      <c r="F21" s="82"/>
    </row>
    <row r="22" spans="1:6" x14ac:dyDescent="0.25">
      <c r="A22" s="82"/>
      <c r="B22" s="82" t="s">
        <v>109</v>
      </c>
      <c r="C22" s="476" t="s">
        <v>110</v>
      </c>
      <c r="D22" s="478"/>
      <c r="E22" s="476" t="s">
        <v>111</v>
      </c>
      <c r="F22" s="478"/>
    </row>
    <row r="23" spans="1:6" x14ac:dyDescent="0.25">
      <c r="A23" s="82"/>
      <c r="B23" s="82" t="s">
        <v>112</v>
      </c>
      <c r="C23" s="476" t="s">
        <v>110</v>
      </c>
      <c r="D23" s="478"/>
      <c r="E23" s="476" t="s">
        <v>111</v>
      </c>
      <c r="F23" s="478"/>
    </row>
    <row r="24" spans="1:6" x14ac:dyDescent="0.25">
      <c r="A24" s="82"/>
      <c r="B24" s="82" t="s">
        <v>113</v>
      </c>
      <c r="C24" s="82" t="s">
        <v>114</v>
      </c>
      <c r="D24" s="82" t="s">
        <v>115</v>
      </c>
      <c r="E24" s="286" t="s">
        <v>115</v>
      </c>
      <c r="F24" s="82" t="s">
        <v>115</v>
      </c>
    </row>
    <row r="25" spans="1:6" x14ac:dyDescent="0.25">
      <c r="A25" s="82"/>
      <c r="B25" s="82" t="s">
        <v>188</v>
      </c>
      <c r="C25" s="82" t="s">
        <v>114</v>
      </c>
      <c r="D25" s="82" t="s">
        <v>115</v>
      </c>
      <c r="E25" s="286" t="s">
        <v>115</v>
      </c>
      <c r="F25" s="82" t="s">
        <v>115</v>
      </c>
    </row>
    <row r="26" spans="1:6" x14ac:dyDescent="0.25">
      <c r="A26" s="82"/>
      <c r="B26" s="83" t="s">
        <v>106</v>
      </c>
      <c r="C26" s="82"/>
      <c r="D26" s="82"/>
      <c r="E26" s="82"/>
      <c r="F26" s="82"/>
    </row>
    <row r="27" spans="1:6" x14ac:dyDescent="0.25">
      <c r="A27" s="82"/>
      <c r="B27" s="82" t="s">
        <v>107</v>
      </c>
      <c r="C27" s="273" t="s">
        <v>108</v>
      </c>
      <c r="D27" s="476" t="s">
        <v>269</v>
      </c>
      <c r="E27" s="477"/>
      <c r="F27" s="478"/>
    </row>
    <row r="31" spans="1:6" x14ac:dyDescent="0.25">
      <c r="D31" s="186"/>
    </row>
    <row r="41" spans="1:11" x14ac:dyDescent="0.25">
      <c r="D41" t="s">
        <v>142</v>
      </c>
      <c r="E41" t="s">
        <v>212</v>
      </c>
      <c r="F41" t="s">
        <v>143</v>
      </c>
      <c r="G41" t="s">
        <v>144</v>
      </c>
      <c r="H41" t="s">
        <v>146</v>
      </c>
      <c r="I41" s="157" t="s">
        <v>140</v>
      </c>
      <c r="J41" s="157" t="s">
        <v>213</v>
      </c>
      <c r="K41" s="157" t="s">
        <v>141</v>
      </c>
    </row>
    <row r="42" spans="1:11" x14ac:dyDescent="0.25">
      <c r="A42" s="196"/>
      <c r="K42" t="s">
        <v>40</v>
      </c>
    </row>
    <row r="43" spans="1:11" x14ac:dyDescent="0.25">
      <c r="A43" s="196"/>
    </row>
    <row r="44" spans="1:11" x14ac:dyDescent="0.25">
      <c r="A44" s="196"/>
    </row>
    <row r="45" spans="1:11" x14ac:dyDescent="0.25">
      <c r="A45" s="196"/>
      <c r="I45" t="s">
        <v>214</v>
      </c>
      <c r="J45" t="s">
        <v>214</v>
      </c>
    </row>
    <row r="46" spans="1:11" x14ac:dyDescent="0.25">
      <c r="A46" s="196"/>
    </row>
    <row r="47" spans="1:11" x14ac:dyDescent="0.25">
      <c r="A47" s="197"/>
    </row>
    <row r="48" spans="1:11" x14ac:dyDescent="0.25">
      <c r="A48" s="197"/>
    </row>
    <row r="49" spans="1:1" x14ac:dyDescent="0.25">
      <c r="A49" s="197"/>
    </row>
    <row r="50" spans="1:1" x14ac:dyDescent="0.25">
      <c r="A50" s="197"/>
    </row>
    <row r="51" spans="1:1" x14ac:dyDescent="0.25">
      <c r="A51" s="197"/>
    </row>
    <row r="52" spans="1:1" x14ac:dyDescent="0.25">
      <c r="A52" s="198"/>
    </row>
  </sheetData>
  <mergeCells count="11">
    <mergeCell ref="D27:F27"/>
    <mergeCell ref="C23:D23"/>
    <mergeCell ref="E22:F22"/>
    <mergeCell ref="E23:F23"/>
    <mergeCell ref="E4:F4"/>
    <mergeCell ref="C4:D4"/>
    <mergeCell ref="C7:F7"/>
    <mergeCell ref="C8:F8"/>
    <mergeCell ref="C19:F19"/>
    <mergeCell ref="C20:F20"/>
    <mergeCell ref="C22:D22"/>
  </mergeCells>
  <pageMargins left="0.70866141732283472" right="0.70866141732283472"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9"/>
  <dimension ref="A5:F30"/>
  <sheetViews>
    <sheetView workbookViewId="0">
      <selection activeCell="B30" sqref="B30"/>
    </sheetView>
  </sheetViews>
  <sheetFormatPr baseColWidth="10" defaultRowHeight="15" x14ac:dyDescent="0.25"/>
  <sheetData>
    <row r="5" spans="1:4" x14ac:dyDescent="0.25">
      <c r="A5" t="s">
        <v>6</v>
      </c>
    </row>
    <row r="6" spans="1:4" x14ac:dyDescent="0.25">
      <c r="A6">
        <v>2000</v>
      </c>
      <c r="B6">
        <v>100</v>
      </c>
      <c r="C6" s="225">
        <f>0.195/(B22/100)</f>
        <v>0.14161220043572986</v>
      </c>
    </row>
    <row r="7" spans="1:4" x14ac:dyDescent="0.25">
      <c r="A7">
        <v>2001</v>
      </c>
      <c r="B7">
        <v>102.1</v>
      </c>
      <c r="C7" s="225">
        <f>$C$6*(B7/100)</f>
        <v>0.14458605664488017</v>
      </c>
      <c r="D7" s="226">
        <f>C7/C6-1</f>
        <v>2.0999999999999908E-2</v>
      </c>
    </row>
    <row r="8" spans="1:4" x14ac:dyDescent="0.25">
      <c r="A8">
        <v>2002</v>
      </c>
      <c r="B8">
        <v>99.1</v>
      </c>
      <c r="C8" s="225">
        <f t="shared" ref="C8:C22" si="0">$C$6*(B8/100)</f>
        <v>0.14033769063180829</v>
      </c>
      <c r="D8" s="226">
        <f t="shared" ref="D8:D22" si="1">C8/C7-1</f>
        <v>-2.9382957884426908E-2</v>
      </c>
    </row>
    <row r="9" spans="1:4" x14ac:dyDescent="0.25">
      <c r="A9">
        <v>2003</v>
      </c>
      <c r="B9">
        <v>100.2</v>
      </c>
      <c r="C9" s="225">
        <f t="shared" si="0"/>
        <v>0.14189542483660134</v>
      </c>
      <c r="D9" s="226">
        <f t="shared" si="1"/>
        <v>1.1099899091826515E-2</v>
      </c>
    </row>
    <row r="10" spans="1:4" x14ac:dyDescent="0.25">
      <c r="A10">
        <v>2004</v>
      </c>
      <c r="B10">
        <v>102.9</v>
      </c>
      <c r="C10" s="225">
        <f t="shared" si="0"/>
        <v>0.14571895424836606</v>
      </c>
      <c r="D10" s="226">
        <f t="shared" si="1"/>
        <v>2.6946107784431295E-2</v>
      </c>
    </row>
    <row r="11" spans="1:4" x14ac:dyDescent="0.25">
      <c r="A11">
        <v>2005</v>
      </c>
      <c r="B11">
        <v>106.1</v>
      </c>
      <c r="C11" s="225">
        <f t="shared" si="0"/>
        <v>0.15025054466230939</v>
      </c>
      <c r="D11" s="226">
        <f t="shared" si="1"/>
        <v>3.1098153547132856E-2</v>
      </c>
    </row>
    <row r="12" spans="1:4" x14ac:dyDescent="0.25">
      <c r="A12">
        <v>2006</v>
      </c>
      <c r="B12">
        <v>109.8</v>
      </c>
      <c r="C12" s="225">
        <f t="shared" si="0"/>
        <v>0.15549019607843137</v>
      </c>
      <c r="D12" s="226">
        <f t="shared" si="1"/>
        <v>3.4872761545711395E-2</v>
      </c>
    </row>
    <row r="13" spans="1:4" x14ac:dyDescent="0.25">
      <c r="A13">
        <v>2007</v>
      </c>
      <c r="B13">
        <v>120</v>
      </c>
      <c r="C13" s="225">
        <f t="shared" si="0"/>
        <v>0.16993464052287582</v>
      </c>
      <c r="D13" s="226">
        <f t="shared" si="1"/>
        <v>9.2896174863388081E-2</v>
      </c>
    </row>
    <row r="14" spans="1:4" x14ac:dyDescent="0.25">
      <c r="A14">
        <v>2008</v>
      </c>
      <c r="B14">
        <v>122</v>
      </c>
      <c r="C14" s="225">
        <f t="shared" si="0"/>
        <v>0.17276688453159042</v>
      </c>
      <c r="D14" s="226">
        <f t="shared" si="1"/>
        <v>1.6666666666666607E-2</v>
      </c>
    </row>
    <row r="15" spans="1:4" x14ac:dyDescent="0.25">
      <c r="A15">
        <v>2009</v>
      </c>
      <c r="B15">
        <v>127</v>
      </c>
      <c r="C15" s="225">
        <f t="shared" si="0"/>
        <v>0.17984749455337692</v>
      </c>
      <c r="D15" s="226">
        <f t="shared" si="1"/>
        <v>4.0983606557377206E-2</v>
      </c>
    </row>
    <row r="16" spans="1:4" x14ac:dyDescent="0.25">
      <c r="A16">
        <v>2010</v>
      </c>
      <c r="B16">
        <v>128.30000000000001</v>
      </c>
      <c r="C16" s="225">
        <f t="shared" si="0"/>
        <v>0.18168845315904145</v>
      </c>
      <c r="D16" s="226">
        <f t="shared" si="1"/>
        <v>1.0236220472441104E-2</v>
      </c>
    </row>
    <row r="17" spans="1:6" x14ac:dyDescent="0.25">
      <c r="A17">
        <v>2011</v>
      </c>
      <c r="B17">
        <v>128.4</v>
      </c>
      <c r="C17" s="225">
        <f t="shared" si="0"/>
        <v>0.18183006535947716</v>
      </c>
      <c r="D17" s="226">
        <f t="shared" si="1"/>
        <v>7.7942322681212595E-4</v>
      </c>
    </row>
    <row r="18" spans="1:6" x14ac:dyDescent="0.25">
      <c r="A18">
        <v>2012</v>
      </c>
      <c r="B18">
        <v>129.5</v>
      </c>
      <c r="C18" s="225">
        <f t="shared" si="0"/>
        <v>0.18338779956427015</v>
      </c>
      <c r="D18" s="226">
        <f t="shared" si="1"/>
        <v>8.5669781931461131E-3</v>
      </c>
    </row>
    <row r="19" spans="1:6" x14ac:dyDescent="0.25">
      <c r="A19">
        <v>2013</v>
      </c>
      <c r="B19">
        <v>135.30000000000001</v>
      </c>
      <c r="C19" s="225">
        <f t="shared" si="0"/>
        <v>0.19160130718954252</v>
      </c>
      <c r="D19" s="226">
        <f t="shared" si="1"/>
        <v>4.4787644787644965E-2</v>
      </c>
    </row>
    <row r="20" spans="1:6" x14ac:dyDescent="0.25">
      <c r="A20">
        <v>2014</v>
      </c>
      <c r="B20">
        <v>135.30000000000001</v>
      </c>
      <c r="C20" s="225">
        <f t="shared" si="0"/>
        <v>0.19160130718954252</v>
      </c>
      <c r="D20" s="226">
        <f t="shared" si="1"/>
        <v>0</v>
      </c>
    </row>
    <row r="21" spans="1:6" x14ac:dyDescent="0.25">
      <c r="A21">
        <v>2015</v>
      </c>
      <c r="B21">
        <v>136.19999999999999</v>
      </c>
      <c r="C21" s="225">
        <f t="shared" si="0"/>
        <v>0.19287581699346407</v>
      </c>
      <c r="D21" s="226">
        <f t="shared" si="1"/>
        <v>6.6518847006651338E-3</v>
      </c>
    </row>
    <row r="22" spans="1:6" x14ac:dyDescent="0.25">
      <c r="A22">
        <v>2016</v>
      </c>
      <c r="B22">
        <v>137.69999999999999</v>
      </c>
      <c r="C22" s="225">
        <f t="shared" si="0"/>
        <v>0.19499999999999998</v>
      </c>
      <c r="D22" s="226">
        <f t="shared" si="1"/>
        <v>1.101321585903059E-2</v>
      </c>
      <c r="E22" s="227">
        <f>AVERAGE(D7:D22)</f>
        <v>2.0513486213240437E-2</v>
      </c>
      <c r="F22">
        <f>C22/C9</f>
        <v>1.3742514970059876</v>
      </c>
    </row>
    <row r="23" spans="1:6" x14ac:dyDescent="0.25">
      <c r="E23" s="227">
        <f>MEDIAN(D7:D22)</f>
        <v>1.3883282879246561E-2</v>
      </c>
    </row>
    <row r="25" spans="1:6" x14ac:dyDescent="0.25">
      <c r="B25" t="s">
        <v>248</v>
      </c>
      <c r="C25" t="s">
        <v>247</v>
      </c>
    </row>
    <row r="26" spans="1:6" x14ac:dyDescent="0.25">
      <c r="A26" t="s">
        <v>246</v>
      </c>
      <c r="B26" s="228">
        <f>C9</f>
        <v>0.14189542483660134</v>
      </c>
      <c r="C26">
        <v>2.4400000000000002E-2</v>
      </c>
      <c r="D26">
        <f>B26*(1+C26)^10</f>
        <v>0.18057768895788939</v>
      </c>
    </row>
    <row r="29" spans="1:6" x14ac:dyDescent="0.25">
      <c r="D29" t="s">
        <v>250</v>
      </c>
    </row>
    <row r="30" spans="1:6" x14ac:dyDescent="0.25">
      <c r="A30" t="s">
        <v>249</v>
      </c>
      <c r="B30">
        <f>C22/C6</f>
        <v>1.3769999999999998</v>
      </c>
      <c r="C30">
        <f>B30-1</f>
        <v>0.37699999999999978</v>
      </c>
      <c r="D30">
        <v>13</v>
      </c>
      <c r="E30">
        <f>C30^(-1/D30)</f>
        <v>1.0779264455282573</v>
      </c>
    </row>
  </sheetData>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rgb="FF82919C"/>
  </sheetPr>
  <dimension ref="A1:BL130"/>
  <sheetViews>
    <sheetView showGridLines="0" showRowColHeaders="0" zoomScaleNormal="100" workbookViewId="0">
      <pane ySplit="9" topLeftCell="A22"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85546875" style="20" customWidth="1"/>
    <col min="4" max="4" width="22.140625" style="20" customWidth="1"/>
    <col min="5" max="5" width="3.5703125" style="21" customWidth="1"/>
    <col min="6" max="6" width="0.7109375" style="20" customWidth="1"/>
    <col min="7" max="7" width="10.7109375" style="20" customWidth="1"/>
    <col min="8" max="8" width="5" style="20" customWidth="1"/>
    <col min="9" max="9" width="0.7109375" style="20" customWidth="1"/>
    <col min="10" max="10" width="8.5703125" style="20" customWidth="1"/>
    <col min="11" max="11" width="3.5703125" style="21" customWidth="1"/>
    <col min="12" max="12" width="0.7109375" style="20" customWidth="1"/>
    <col min="13" max="13" width="14.28515625" style="20" customWidth="1"/>
    <col min="14" max="14" width="10.7109375" style="20" customWidth="1"/>
    <col min="15" max="15" width="3.5703125" style="21" customWidth="1"/>
    <col min="16" max="16" width="0.7109375" style="74" customWidth="1"/>
    <col min="17" max="17" width="2.5703125" style="74" customWidth="1"/>
    <col min="18" max="18" width="25.85546875" style="20" customWidth="1"/>
    <col min="19" max="19" width="16.7109375" style="20" customWidth="1"/>
    <col min="20" max="20" width="30" style="20" customWidth="1"/>
    <col min="21" max="31" width="11.42578125" style="74"/>
    <col min="32" max="64" width="11.42578125" style="22"/>
    <col min="65" max="16384" width="11.42578125" style="20"/>
  </cols>
  <sheetData>
    <row r="1" spans="1:31" x14ac:dyDescent="0.3">
      <c r="A1" s="22"/>
      <c r="B1" s="71"/>
      <c r="C1" s="22"/>
      <c r="D1" s="22"/>
      <c r="E1" s="23"/>
      <c r="F1" s="22"/>
      <c r="G1" s="22"/>
      <c r="H1" s="22"/>
      <c r="I1" s="22"/>
      <c r="J1" s="22"/>
      <c r="K1" s="23"/>
      <c r="L1" s="22"/>
      <c r="M1" s="22"/>
      <c r="N1" s="22"/>
      <c r="O1" s="23"/>
      <c r="P1" s="71"/>
      <c r="Q1" s="71"/>
      <c r="R1" s="22"/>
      <c r="S1" s="22"/>
      <c r="T1" s="89"/>
      <c r="U1" s="71"/>
      <c r="V1" s="71"/>
      <c r="W1" s="71"/>
      <c r="X1" s="71"/>
      <c r="Y1" s="71"/>
      <c r="Z1" s="71"/>
      <c r="AA1" s="71"/>
      <c r="AB1" s="71"/>
      <c r="AC1" s="71"/>
      <c r="AD1" s="71"/>
      <c r="AE1" s="71"/>
    </row>
    <row r="2" spans="1:31" ht="18.75" customHeight="1" x14ac:dyDescent="0.3">
      <c r="A2" s="45">
        <v>0</v>
      </c>
      <c r="B2" s="77"/>
      <c r="C2" s="38" t="str">
        <f>" "&amp;INDEX(Auswahl!$G$2:$G$10,1+0)&amp;" | "&amp;INDEX(Auswahl!$H$2:$H$10,1+0)</f>
        <v xml:space="preserve"> A | Antragsformular</v>
      </c>
      <c r="D2" s="44"/>
      <c r="E2" s="156">
        <f>IF(Auswahl!$I$2=TRUE,2,0)</f>
        <v>0</v>
      </c>
      <c r="F2" s="30"/>
      <c r="G2" s="38" t="str">
        <f>" "&amp;INDEX(Auswahl!$G$2:$G$10,1+3)&amp;" | "&amp;INDEX(Auswahl!$H$2:$H$10,1+3)</f>
        <v xml:space="preserve"> 2 | Pelletsanlage</v>
      </c>
      <c r="H2" s="44"/>
      <c r="I2" s="44"/>
      <c r="J2" s="44"/>
      <c r="K2" s="156">
        <f>IF(Auswahl!$I$5=TRUE,2,0)</f>
        <v>0</v>
      </c>
      <c r="L2" s="152"/>
      <c r="M2" s="38" t="str">
        <f>" "&amp;INDEX(Auswahl!$G$2:$G$10,1+6)&amp;" | "&amp;INDEX(Auswahl!$H$2:$H$10,1+6)</f>
        <v xml:space="preserve"> 5 | Wärmepumpe (Wasser)</v>
      </c>
      <c r="N2" s="44"/>
      <c r="O2" s="156">
        <f>IF(Auswahl!$I$8=TRUE,2,0)</f>
        <v>0</v>
      </c>
      <c r="P2" s="79"/>
      <c r="Q2" s="79"/>
      <c r="R2" s="22"/>
      <c r="S2" s="22"/>
      <c r="T2" s="89"/>
      <c r="U2" s="71"/>
      <c r="V2" s="71"/>
      <c r="W2" s="71"/>
      <c r="X2" s="71"/>
      <c r="Y2" s="71"/>
      <c r="Z2" s="71"/>
      <c r="AA2" s="71"/>
      <c r="AB2" s="71"/>
      <c r="AC2" s="71"/>
      <c r="AD2" s="71"/>
      <c r="AE2" s="71"/>
    </row>
    <row r="3" spans="1:31" ht="3.75" customHeight="1" x14ac:dyDescent="0.3">
      <c r="A3" s="36"/>
      <c r="B3" s="77"/>
      <c r="C3" s="33"/>
      <c r="D3" s="33"/>
      <c r="E3" s="27"/>
      <c r="F3" s="30"/>
      <c r="G3" s="34"/>
      <c r="H3" s="34"/>
      <c r="I3" s="34"/>
      <c r="J3" s="34"/>
      <c r="K3" s="153"/>
      <c r="L3" s="152"/>
      <c r="M3" s="33"/>
      <c r="N3" s="33"/>
      <c r="O3" s="153"/>
      <c r="P3" s="79"/>
      <c r="Q3" s="79"/>
      <c r="R3" s="22"/>
      <c r="S3" s="22"/>
      <c r="T3" s="89"/>
      <c r="U3" s="71"/>
      <c r="V3" s="71"/>
      <c r="W3" s="71"/>
      <c r="X3" s="71"/>
      <c r="Y3" s="71"/>
      <c r="Z3" s="71"/>
      <c r="AA3" s="71"/>
      <c r="AB3" s="71"/>
      <c r="AC3" s="71"/>
      <c r="AD3" s="71"/>
      <c r="AE3" s="71"/>
    </row>
    <row r="4" spans="1:31" ht="18.75" customHeight="1" x14ac:dyDescent="0.3">
      <c r="A4" s="334" t="s">
        <v>78</v>
      </c>
      <c r="B4" s="77"/>
      <c r="C4" s="39" t="str">
        <f>" "&amp;INDEX(Auswahl!$G$2:$G$10,1+1)&amp;" | "&amp;INDEX(Auswahl!$H$2:$H$10,1+1)</f>
        <v xml:space="preserve"> 0 | Basisangaben</v>
      </c>
      <c r="D4" s="61"/>
      <c r="E4" s="175">
        <f>IF(Auswahl!$I$3=TRUE,2,0)</f>
        <v>0</v>
      </c>
      <c r="F4" s="30"/>
      <c r="G4" s="84" t="str">
        <f>" "&amp;INDEX(Auswahl!$G$2:$G$10,1+4)&amp;" | "&amp;INDEX(Auswahl!$H$2:$H$10,1+4)</f>
        <v xml:space="preserve"> 3 | Nah- /Fernwärme (ern.)</v>
      </c>
      <c r="H4" s="85"/>
      <c r="I4" s="85"/>
      <c r="J4" s="85"/>
      <c r="K4" s="176">
        <f>IF(Auswahl!$I$6=TRUE,2,0)</f>
        <v>0</v>
      </c>
      <c r="L4" s="152"/>
      <c r="M4" s="38" t="str">
        <f>" "&amp;INDEX(Auswahl!$G$2:$G$10,1+7)&amp;" | "&amp;INDEX(Auswahl!$H$2:$H$10,1+7)</f>
        <v xml:space="preserve"> 6 | Wärmepumpe (Sole)</v>
      </c>
      <c r="N4" s="44"/>
      <c r="O4" s="156">
        <f>IF(Auswahl!$I$9=TRUE,2,0)</f>
        <v>0</v>
      </c>
      <c r="P4" s="80"/>
      <c r="Q4" s="80"/>
      <c r="R4" s="335"/>
      <c r="S4" s="22"/>
      <c r="T4" s="89"/>
      <c r="U4" s="71"/>
      <c r="V4" s="71"/>
      <c r="W4" s="71"/>
      <c r="X4" s="71"/>
      <c r="Y4" s="71"/>
      <c r="Z4" s="71"/>
      <c r="AA4" s="71"/>
      <c r="AB4" s="71"/>
      <c r="AC4" s="71"/>
      <c r="AD4" s="71"/>
      <c r="AE4" s="71"/>
    </row>
    <row r="5" spans="1:31" ht="3.75" customHeight="1" x14ac:dyDescent="0.3">
      <c r="A5" s="334"/>
      <c r="B5" s="77"/>
      <c r="C5" s="33"/>
      <c r="D5" s="33"/>
      <c r="E5" s="153"/>
      <c r="F5" s="30"/>
      <c r="G5" s="34"/>
      <c r="H5" s="34"/>
      <c r="I5" s="34"/>
      <c r="J5" s="34"/>
      <c r="K5" s="153"/>
      <c r="L5" s="152"/>
      <c r="M5" s="33"/>
      <c r="N5" s="33"/>
      <c r="O5" s="153"/>
      <c r="P5" s="80"/>
      <c r="Q5" s="80"/>
      <c r="R5" s="335"/>
      <c r="S5" s="22"/>
      <c r="T5" s="89"/>
      <c r="U5" s="71"/>
      <c r="V5" s="71"/>
      <c r="W5" s="71"/>
      <c r="X5" s="71"/>
      <c r="Y5" s="71"/>
      <c r="Z5" s="71"/>
      <c r="AA5" s="71"/>
      <c r="AB5" s="71"/>
      <c r="AC5" s="71"/>
      <c r="AD5" s="71"/>
      <c r="AE5" s="71"/>
    </row>
    <row r="6" spans="1:31" ht="18.75" customHeight="1" x14ac:dyDescent="0.3">
      <c r="A6" s="334"/>
      <c r="B6" s="77"/>
      <c r="C6" s="38" t="str">
        <f>" "&amp;INDEX(Auswahl!$G$2:$G$10,1+2)&amp;" | "&amp;INDEX(Auswahl!$H$2:$H$10,1+2)</f>
        <v xml:space="preserve"> 1 | Bitte wählen…</v>
      </c>
      <c r="D6" s="44"/>
      <c r="E6" s="156">
        <f>IF(Auswahl!$I$4=TRUE,2,0)</f>
        <v>0</v>
      </c>
      <c r="F6" s="30"/>
      <c r="G6" s="38" t="str">
        <f>" "&amp;INDEX(Auswahl!$G$2:$G$10,1+5)&amp;" | "&amp;INDEX(Auswahl!$H$2:$H$10,1+5)</f>
        <v xml:space="preserve"> 4 | Wärmepumpe (Luft)</v>
      </c>
      <c r="H6" s="44"/>
      <c r="I6" s="44"/>
      <c r="J6" s="44"/>
      <c r="K6" s="156">
        <f>IF(Auswahl!$I$7=TRUE,2,0)</f>
        <v>0</v>
      </c>
      <c r="L6" s="152"/>
      <c r="M6" s="38" t="str">
        <f>" "&amp;INDEX(Auswahl!$G$2:$G$10,1+8)&amp;" | "&amp;INDEX(Auswahl!$H$2:$H$10,1+8)</f>
        <v xml:space="preserve"> 7 | Rahmenbedingungen</v>
      </c>
      <c r="N6" s="44"/>
      <c r="O6" s="156">
        <f>IF(Auswahl!$I$10=TRUE,2,0)</f>
        <v>0</v>
      </c>
      <c r="P6" s="80"/>
      <c r="Q6" s="80"/>
      <c r="R6" s="335"/>
      <c r="S6" s="22"/>
      <c r="T6" s="89"/>
      <c r="U6" s="71"/>
      <c r="V6" s="71"/>
      <c r="W6" s="71"/>
      <c r="X6" s="71"/>
      <c r="Y6" s="71"/>
      <c r="Z6" s="71"/>
      <c r="AA6" s="71"/>
      <c r="AB6" s="71"/>
      <c r="AC6" s="71"/>
      <c r="AD6" s="71"/>
      <c r="AE6" s="71"/>
    </row>
    <row r="7" spans="1:31" ht="6.75" customHeight="1" x14ac:dyDescent="0.3">
      <c r="A7" s="22"/>
      <c r="B7" s="71"/>
      <c r="C7" s="29"/>
      <c r="D7" s="29"/>
      <c r="E7" s="153"/>
      <c r="F7" s="24"/>
      <c r="G7" s="29"/>
      <c r="H7" s="29"/>
      <c r="I7" s="29"/>
      <c r="J7" s="29"/>
      <c r="K7" s="153"/>
      <c r="L7" s="155"/>
      <c r="M7" s="29"/>
      <c r="N7" s="29"/>
      <c r="O7" s="153"/>
      <c r="P7" s="80"/>
      <c r="Q7" s="80"/>
      <c r="R7" s="335"/>
      <c r="S7" s="22"/>
      <c r="T7" s="89"/>
      <c r="U7" s="71"/>
      <c r="V7" s="71"/>
      <c r="W7" s="71"/>
      <c r="X7" s="71"/>
      <c r="Y7" s="71"/>
      <c r="Z7" s="71"/>
      <c r="AA7" s="71"/>
      <c r="AB7" s="71"/>
      <c r="AC7" s="71"/>
      <c r="AD7" s="71"/>
      <c r="AE7" s="71"/>
    </row>
    <row r="8" spans="1:31" ht="12.75" customHeight="1" x14ac:dyDescent="0.3">
      <c r="A8" s="22"/>
      <c r="B8" s="78"/>
      <c r="C8" s="35"/>
      <c r="D8" s="35"/>
      <c r="E8" s="31"/>
      <c r="F8" s="24"/>
      <c r="G8" s="24"/>
      <c r="H8" s="24"/>
      <c r="I8" s="24"/>
      <c r="J8" s="24"/>
      <c r="K8" s="31"/>
      <c r="L8" s="24"/>
      <c r="M8" s="24"/>
      <c r="N8" s="24"/>
      <c r="O8" s="31"/>
      <c r="P8" s="78"/>
      <c r="Q8" s="78"/>
      <c r="R8" s="22"/>
      <c r="S8" s="22"/>
      <c r="T8" s="22"/>
      <c r="U8" s="71"/>
      <c r="V8" s="71"/>
      <c r="W8" s="71"/>
      <c r="X8" s="71"/>
      <c r="Y8" s="71"/>
      <c r="Z8" s="71"/>
      <c r="AA8" s="71"/>
      <c r="AB8" s="71"/>
      <c r="AC8" s="71"/>
      <c r="AD8" s="71"/>
      <c r="AE8" s="71"/>
    </row>
    <row r="9" spans="1:31" ht="3.75" customHeight="1" x14ac:dyDescent="0.3">
      <c r="A9" s="22"/>
      <c r="Q9" s="71"/>
      <c r="R9" s="22"/>
      <c r="S9" s="22"/>
      <c r="T9" s="22"/>
      <c r="U9" s="71"/>
      <c r="V9" s="71"/>
      <c r="W9" s="71"/>
      <c r="X9" s="71"/>
      <c r="Y9" s="71"/>
      <c r="Z9" s="71"/>
      <c r="AA9" s="71"/>
      <c r="AB9" s="71"/>
      <c r="AC9" s="71"/>
      <c r="AD9" s="71"/>
      <c r="AE9" s="71"/>
    </row>
    <row r="10" spans="1:31" ht="20.25" x14ac:dyDescent="0.3">
      <c r="A10" s="277"/>
      <c r="C10" s="46" t="str">
        <f>$A$2&amp;". "&amp;UPPER(VLOOKUP($A$2,Navigation,2,FALSE))</f>
        <v>0. BASISANGABEN</v>
      </c>
      <c r="D10" s="47"/>
      <c r="E10" s="48"/>
      <c r="F10" s="48"/>
      <c r="G10" s="48"/>
      <c r="H10" s="48"/>
      <c r="I10" s="48"/>
      <c r="J10" s="48"/>
      <c r="K10" s="48"/>
      <c r="L10" s="49"/>
      <c r="M10" s="400" t="str">
        <f>IF(Auswahl!$I$3=TRUE,"",UPPER("unvollständig"))</f>
        <v>UNVOLLSTÄNDIG</v>
      </c>
      <c r="N10" s="400"/>
      <c r="O10" s="400"/>
      <c r="Q10" s="71"/>
      <c r="R10" s="71"/>
      <c r="S10" s="71"/>
      <c r="T10" s="71"/>
      <c r="U10" s="101"/>
      <c r="V10" s="71"/>
      <c r="W10" s="71"/>
      <c r="X10" s="102"/>
      <c r="Y10" s="71"/>
      <c r="Z10" s="71"/>
      <c r="AA10" s="71"/>
      <c r="AB10" s="71"/>
      <c r="AC10" s="71"/>
      <c r="AD10" s="71"/>
      <c r="AE10" s="71"/>
    </row>
    <row r="11" spans="1:31" x14ac:dyDescent="0.3">
      <c r="A11" s="22"/>
      <c r="C11" s="48"/>
      <c r="D11" s="48"/>
      <c r="E11" s="48"/>
      <c r="F11" s="48"/>
      <c r="G11" s="48"/>
      <c r="H11" s="48"/>
      <c r="I11" s="48"/>
      <c r="J11" s="48"/>
      <c r="K11" s="48"/>
      <c r="L11" s="49"/>
      <c r="M11" s="76"/>
      <c r="Q11" s="71"/>
      <c r="R11" s="71"/>
      <c r="S11" s="71"/>
      <c r="T11" s="71"/>
      <c r="U11" s="101"/>
      <c r="V11" s="71"/>
      <c r="W11" s="71"/>
      <c r="X11" s="71"/>
      <c r="Y11" s="71"/>
      <c r="Z11" s="71"/>
      <c r="AA11" s="71"/>
      <c r="AB11" s="71"/>
      <c r="AC11" s="71"/>
      <c r="AD11" s="71"/>
      <c r="AE11" s="71"/>
    </row>
    <row r="12" spans="1:31" x14ac:dyDescent="0.3">
      <c r="A12" s="22"/>
      <c r="C12" s="47" t="str">
        <f>$A$2&amp;".1 "&amp;UPPER("Rechtliche Grundlagen")</f>
        <v>0.1 RECHTLICHE GRUNDLAGEN</v>
      </c>
      <c r="D12" s="47"/>
      <c r="E12" s="48"/>
      <c r="F12" s="48"/>
      <c r="G12" s="48"/>
      <c r="H12" s="48"/>
      <c r="I12" s="48"/>
      <c r="J12" s="48"/>
      <c r="K12" s="48"/>
      <c r="L12" s="48"/>
      <c r="M12" s="66"/>
      <c r="Q12" s="71"/>
      <c r="R12" s="71"/>
      <c r="S12" s="71"/>
      <c r="T12" s="71"/>
      <c r="U12" s="101"/>
      <c r="V12" s="71"/>
      <c r="W12" s="71"/>
      <c r="X12" s="71"/>
      <c r="Y12" s="71"/>
      <c r="Z12" s="71"/>
      <c r="AA12" s="71"/>
      <c r="AB12" s="71"/>
      <c r="AC12" s="71"/>
      <c r="AD12" s="71"/>
      <c r="AE12" s="71"/>
    </row>
    <row r="13" spans="1:31" ht="7.5" customHeight="1" x14ac:dyDescent="0.3">
      <c r="A13" s="22"/>
      <c r="C13" s="48"/>
      <c r="D13" s="48"/>
      <c r="E13" s="48"/>
      <c r="F13" s="48"/>
      <c r="G13" s="48"/>
      <c r="H13" s="48"/>
      <c r="I13" s="48"/>
      <c r="J13" s="48"/>
      <c r="K13" s="48"/>
      <c r="L13" s="49"/>
      <c r="M13" s="76"/>
      <c r="Q13" s="71"/>
      <c r="R13" s="71"/>
      <c r="S13" s="71"/>
      <c r="T13" s="71"/>
      <c r="U13" s="71"/>
      <c r="V13" s="71"/>
      <c r="W13" s="71"/>
      <c r="X13" s="71"/>
      <c r="Y13" s="71"/>
      <c r="Z13" s="71"/>
      <c r="AA13" s="71"/>
      <c r="AB13" s="71"/>
      <c r="AC13" s="71"/>
      <c r="AD13" s="71"/>
      <c r="AE13" s="71"/>
    </row>
    <row r="14" spans="1:31" ht="159" customHeight="1" x14ac:dyDescent="0.3">
      <c r="A14" s="22"/>
      <c r="C14" s="369" t="s">
        <v>238</v>
      </c>
      <c r="D14" s="369"/>
      <c r="E14" s="369"/>
      <c r="F14" s="369"/>
      <c r="G14" s="369"/>
      <c r="H14" s="369"/>
      <c r="I14" s="369"/>
      <c r="J14" s="369"/>
      <c r="K14" s="369"/>
      <c r="L14" s="369"/>
      <c r="M14" s="369"/>
      <c r="N14" s="369"/>
      <c r="O14" s="369"/>
      <c r="Q14" s="71"/>
      <c r="R14" s="159"/>
      <c r="S14" s="22"/>
      <c r="T14" s="22"/>
      <c r="U14" s="71"/>
      <c r="V14" s="71"/>
      <c r="W14" s="71"/>
      <c r="X14" s="90"/>
      <c r="Y14" s="71"/>
      <c r="Z14" s="71"/>
      <c r="AA14" s="71"/>
      <c r="AB14" s="71"/>
      <c r="AC14" s="71"/>
      <c r="AD14" s="71"/>
      <c r="AE14" s="71"/>
    </row>
    <row r="15" spans="1:31" ht="16.5" customHeight="1" x14ac:dyDescent="0.3">
      <c r="A15" s="22"/>
      <c r="C15" s="47" t="str">
        <f>$A$2&amp;".2 "&amp;UPPER("Angaben aus dem Energieausweis")</f>
        <v>0.2 ANGABEN AUS DEM ENERGIEAUSWEIS</v>
      </c>
      <c r="D15" s="47"/>
      <c r="Q15" s="71"/>
      <c r="R15" s="54"/>
      <c r="S15" s="22"/>
      <c r="T15" s="22"/>
      <c r="U15" s="71"/>
      <c r="V15" s="71"/>
      <c r="W15" s="71"/>
      <c r="X15" s="71"/>
      <c r="Y15" s="71"/>
      <c r="Z15" s="71"/>
      <c r="AA15" s="71"/>
      <c r="AB15" s="71"/>
      <c r="AC15" s="71"/>
      <c r="AD15" s="71"/>
      <c r="AE15" s="71"/>
    </row>
    <row r="16" spans="1:31" ht="7.5" customHeight="1" x14ac:dyDescent="0.3">
      <c r="A16" s="22"/>
      <c r="C16" s="48"/>
      <c r="D16" s="48"/>
      <c r="P16" s="180"/>
      <c r="Q16" s="71"/>
      <c r="R16" s="22"/>
      <c r="S16" s="22"/>
      <c r="T16" s="22"/>
      <c r="U16" s="71"/>
      <c r="V16" s="71"/>
      <c r="W16" s="71"/>
      <c r="X16" s="71"/>
      <c r="Y16" s="71"/>
      <c r="Z16" s="71"/>
      <c r="AA16" s="71"/>
      <c r="AB16" s="71"/>
      <c r="AC16" s="71"/>
      <c r="AD16" s="71"/>
      <c r="AE16" s="71"/>
    </row>
    <row r="17" spans="1:33" ht="16.5" customHeight="1" x14ac:dyDescent="0.3">
      <c r="A17" s="22"/>
      <c r="B17" s="183"/>
      <c r="C17" s="88" t="s">
        <v>352</v>
      </c>
      <c r="D17" s="48"/>
      <c r="P17" s="180"/>
      <c r="Q17" s="71"/>
      <c r="R17" s="22"/>
      <c r="S17" s="22"/>
      <c r="T17" s="22"/>
      <c r="U17" s="71"/>
      <c r="V17" s="71"/>
      <c r="W17" s="71"/>
      <c r="X17" s="71"/>
      <c r="Y17" s="71"/>
      <c r="Z17" s="71"/>
      <c r="AA17" s="71"/>
      <c r="AB17" s="71"/>
      <c r="AC17" s="71"/>
      <c r="AD17" s="71"/>
      <c r="AE17" s="71"/>
    </row>
    <row r="18" spans="1:33" ht="16.5" customHeight="1" x14ac:dyDescent="0.3">
      <c r="A18" s="22"/>
      <c r="B18" s="184" t="str">
        <f>IF(R18="","","!")</f>
        <v>!</v>
      </c>
      <c r="C18" s="86" t="s">
        <v>353</v>
      </c>
      <c r="D18" s="48"/>
      <c r="H18" s="401" t="str">
        <f>IF(EA_Vorhaben=0,"Bitte wählen…",IF(EA_Vorhaben=1,"Neubau",IF(EA_Vorhaben=2,"Größere Renovierung","Um-/Zubau")))</f>
        <v>Bitte wählen…</v>
      </c>
      <c r="I18" s="402"/>
      <c r="J18" s="402"/>
      <c r="K18" s="402"/>
      <c r="L18" s="402"/>
      <c r="M18" s="403"/>
      <c r="P18" s="180"/>
      <c r="Q18" s="178" t="str">
        <f>IF(R18="","","ï")</f>
        <v>ï</v>
      </c>
      <c r="R18" s="221" t="str">
        <f>IF(EA_Vorhaben=0,TBS_Fehler_1,"")</f>
        <v>Bitte eine Auswahl treffen!</v>
      </c>
      <c r="S18" s="22"/>
      <c r="T18" s="22"/>
      <c r="U18" s="71"/>
      <c r="V18" s="71"/>
      <c r="W18" s="71"/>
      <c r="X18" s="71"/>
      <c r="Y18" s="71"/>
      <c r="Z18" s="71"/>
      <c r="AA18" s="71"/>
      <c r="AB18" s="71"/>
      <c r="AC18" s="71"/>
      <c r="AD18" s="71"/>
      <c r="AE18" s="71"/>
    </row>
    <row r="19" spans="1:33" ht="4.5" customHeight="1" x14ac:dyDescent="0.3">
      <c r="A19" s="22"/>
      <c r="B19" s="183"/>
      <c r="C19" s="88"/>
      <c r="D19" s="48"/>
      <c r="P19" s="180"/>
      <c r="Q19" s="71"/>
      <c r="R19" s="22"/>
      <c r="S19" s="22"/>
      <c r="T19" s="22"/>
      <c r="U19" s="71"/>
      <c r="V19" s="71"/>
      <c r="W19" s="71"/>
      <c r="X19" s="71"/>
      <c r="Y19" s="71"/>
      <c r="Z19" s="71"/>
      <c r="AA19" s="71"/>
      <c r="AB19" s="71"/>
      <c r="AC19" s="71"/>
      <c r="AD19" s="71"/>
      <c r="AE19" s="71"/>
    </row>
    <row r="20" spans="1:33" ht="16.5" customHeight="1" x14ac:dyDescent="0.3">
      <c r="A20" s="22"/>
      <c r="B20" s="184" t="str">
        <f>IF(R20="","","!")</f>
        <v>!</v>
      </c>
      <c r="C20" s="86" t="s">
        <v>132</v>
      </c>
      <c r="D20" s="86"/>
      <c r="H20" s="394" t="str">
        <f>INDEX(EA_Kategorie,EA_Kategorie_Select)</f>
        <v>Bitte wählen…</v>
      </c>
      <c r="I20" s="394"/>
      <c r="J20" s="394"/>
      <c r="K20" s="394"/>
      <c r="L20" s="394"/>
      <c r="M20" s="394"/>
      <c r="N20" s="394"/>
      <c r="O20" s="394"/>
      <c r="P20" s="181"/>
      <c r="Q20" s="178" t="str">
        <f>IF(R20="","","ï")</f>
        <v>ï</v>
      </c>
      <c r="R20" s="221" t="str">
        <f>IF(EA_Kategorie_Select=1,TBS_Fehler_1,"")</f>
        <v>Bitte eine Auswahl treffen!</v>
      </c>
      <c r="S20" s="22"/>
      <c r="T20" s="22"/>
      <c r="U20" s="71"/>
      <c r="V20" s="71"/>
      <c r="W20" s="71"/>
      <c r="X20" s="71"/>
      <c r="Y20" s="71"/>
      <c r="Z20" s="71"/>
      <c r="AA20" s="71"/>
      <c r="AB20" s="71"/>
      <c r="AC20" s="71"/>
      <c r="AD20" s="71"/>
      <c r="AE20" s="71"/>
    </row>
    <row r="21" spans="1:33" ht="3.75" customHeight="1" x14ac:dyDescent="0.3">
      <c r="A21" s="22"/>
      <c r="B21" s="184"/>
      <c r="C21" s="86"/>
      <c r="D21" s="86"/>
      <c r="H21" s="195"/>
      <c r="I21" s="195"/>
      <c r="J21" s="195"/>
      <c r="K21" s="195"/>
      <c r="L21" s="195"/>
      <c r="M21" s="195"/>
      <c r="N21" s="195"/>
      <c r="O21" s="195"/>
      <c r="P21" s="181"/>
      <c r="Q21" s="178"/>
      <c r="R21" s="221"/>
      <c r="S21" s="22"/>
      <c r="T21" s="22"/>
      <c r="U21" s="71"/>
      <c r="V21" s="71"/>
      <c r="W21" s="71"/>
      <c r="X21" s="71"/>
      <c r="Y21" s="71"/>
      <c r="Z21" s="71"/>
      <c r="AA21" s="71"/>
      <c r="AB21" s="71"/>
      <c r="AC21" s="71"/>
      <c r="AD21" s="71"/>
      <c r="AE21" s="71"/>
    </row>
    <row r="22" spans="1:33" ht="16.5" customHeight="1" x14ac:dyDescent="0.3">
      <c r="A22" s="22"/>
      <c r="B22" s="183"/>
      <c r="C22" s="86"/>
      <c r="D22" s="86"/>
      <c r="H22" s="394" t="str">
        <f>IF(Auswahl!B2=TRUE,"mit öffentlicher Nutzung","ohne öffentliche Nutzung")</f>
        <v>ohne öffentliche Nutzung</v>
      </c>
      <c r="I22" s="394"/>
      <c r="J22" s="394"/>
      <c r="K22" s="394"/>
      <c r="L22" s="394"/>
      <c r="M22" s="394"/>
      <c r="P22" s="180"/>
      <c r="Q22" s="71"/>
      <c r="R22" s="22"/>
      <c r="S22" s="22"/>
      <c r="T22" s="22"/>
      <c r="U22" s="71"/>
      <c r="V22" s="71"/>
      <c r="W22" s="71"/>
      <c r="X22" s="71"/>
      <c r="Y22" s="71"/>
      <c r="Z22" s="71"/>
      <c r="AA22" s="71"/>
      <c r="AB22" s="71"/>
      <c r="AC22" s="71"/>
      <c r="AD22" s="71"/>
      <c r="AE22" s="71"/>
      <c r="AG22" s="187"/>
    </row>
    <row r="23" spans="1:33" ht="7.5" customHeight="1" x14ac:dyDescent="0.3">
      <c r="A23" s="22"/>
      <c r="B23" s="183"/>
      <c r="P23" s="180"/>
      <c r="Q23" s="71"/>
      <c r="R23" s="22"/>
      <c r="S23" s="22"/>
      <c r="T23" s="22"/>
      <c r="U23" s="71"/>
      <c r="V23" s="71"/>
      <c r="W23" s="71"/>
      <c r="X23" s="71"/>
      <c r="Y23" s="71"/>
      <c r="Z23" s="71"/>
      <c r="AA23" s="71"/>
      <c r="AB23" s="71"/>
      <c r="AC23" s="71"/>
      <c r="AD23" s="71"/>
      <c r="AE23" s="71"/>
    </row>
    <row r="24" spans="1:33" ht="16.5" customHeight="1" x14ac:dyDescent="0.3">
      <c r="A24" s="22"/>
      <c r="B24" s="183"/>
      <c r="C24" s="88" t="s">
        <v>237</v>
      </c>
      <c r="P24" s="180"/>
      <c r="Q24" s="71"/>
      <c r="R24" s="22"/>
      <c r="S24" s="22"/>
      <c r="T24" s="22"/>
      <c r="U24" s="71"/>
      <c r="V24" s="71"/>
      <c r="W24" s="71"/>
      <c r="X24" s="71"/>
      <c r="Y24" s="71"/>
      <c r="Z24" s="71"/>
      <c r="AA24" s="71"/>
      <c r="AB24" s="71"/>
      <c r="AC24" s="71"/>
      <c r="AD24" s="71"/>
      <c r="AE24" s="71"/>
    </row>
    <row r="25" spans="1:33" ht="16.5" customHeight="1" x14ac:dyDescent="0.3">
      <c r="A25" s="22"/>
      <c r="B25" s="184" t="str">
        <f>IF(R25="","","!")</f>
        <v>!</v>
      </c>
      <c r="C25" s="86" t="s">
        <v>136</v>
      </c>
      <c r="D25" s="86"/>
      <c r="E25" s="76"/>
      <c r="F25" s="86"/>
      <c r="G25" s="86"/>
      <c r="H25" s="398" t="str">
        <f>INDEX(EA_TSA,EA_TSA_Select)</f>
        <v>Bitte wählen…</v>
      </c>
      <c r="I25" s="398"/>
      <c r="J25" s="398"/>
      <c r="K25" s="398"/>
      <c r="L25" s="86"/>
      <c r="M25" s="86"/>
      <c r="N25" s="86"/>
      <c r="O25" s="76"/>
      <c r="P25" s="181"/>
      <c r="Q25" s="178" t="str">
        <f>IF(R25="","","ï")</f>
        <v>ï</v>
      </c>
      <c r="R25" s="221" t="str">
        <f>IF(EA_TSA_Select=1,TBS_Fehler_1,"")</f>
        <v>Bitte eine Auswahl treffen!</v>
      </c>
      <c r="S25" s="22"/>
      <c r="T25" s="22"/>
      <c r="U25" s="141"/>
      <c r="V25" s="71"/>
      <c r="W25" s="71"/>
      <c r="X25" s="71"/>
      <c r="Y25" s="71"/>
      <c r="Z25" s="71"/>
      <c r="AA25" s="71"/>
      <c r="AB25" s="71"/>
      <c r="AC25" s="71"/>
      <c r="AD25" s="71"/>
      <c r="AE25" s="71"/>
    </row>
    <row r="26" spans="1:33" ht="3.75" customHeight="1" x14ac:dyDescent="0.3">
      <c r="A26" s="22"/>
      <c r="B26" s="183"/>
      <c r="C26" s="86"/>
      <c r="D26" s="86"/>
      <c r="E26" s="76"/>
      <c r="F26" s="86"/>
      <c r="G26" s="86"/>
      <c r="H26" s="86"/>
      <c r="I26" s="86"/>
      <c r="J26" s="86"/>
      <c r="K26" s="86"/>
      <c r="L26" s="86"/>
      <c r="M26" s="86"/>
      <c r="N26" s="86"/>
      <c r="O26" s="76"/>
      <c r="P26" s="180"/>
      <c r="Q26" s="71"/>
      <c r="R26" s="221"/>
      <c r="S26" s="22"/>
      <c r="T26" s="22"/>
      <c r="U26" s="141"/>
      <c r="V26" s="71"/>
      <c r="W26" s="71"/>
      <c r="X26" s="71"/>
      <c r="Y26" s="71"/>
      <c r="Z26" s="71"/>
      <c r="AA26" s="71"/>
      <c r="AB26" s="71"/>
      <c r="AC26" s="71"/>
      <c r="AD26" s="71"/>
      <c r="AE26" s="71"/>
    </row>
    <row r="27" spans="1:33" ht="16.5" customHeight="1" x14ac:dyDescent="0.3">
      <c r="A27" s="22"/>
      <c r="B27" s="184" t="str">
        <f>IF(R27="","","!")</f>
        <v>!</v>
      </c>
      <c r="C27" s="86" t="s">
        <v>129</v>
      </c>
      <c r="D27" s="86"/>
      <c r="E27" s="76"/>
      <c r="F27" s="86"/>
      <c r="G27" s="86" t="s">
        <v>234</v>
      </c>
      <c r="H27" s="395"/>
      <c r="I27" s="395"/>
      <c r="J27" s="395"/>
      <c r="K27" s="395"/>
      <c r="P27" s="181"/>
      <c r="Q27" s="178" t="str">
        <f>IF(R27="","","ï")</f>
        <v>ï</v>
      </c>
      <c r="R27" s="221" t="str">
        <f>IF(ISBLANK(EA_QhSK)=TRUE,TBS_Fehler_2,"")</f>
        <v>Bitte dieses Feld (roter Bereich = Pflichtfeld) ausfüllen!</v>
      </c>
      <c r="S27" s="22"/>
      <c r="T27" s="22"/>
      <c r="U27" s="71"/>
      <c r="V27" s="71"/>
      <c r="W27" s="71"/>
      <c r="X27" s="71"/>
      <c r="Y27" s="71"/>
      <c r="Z27" s="71"/>
      <c r="AA27" s="71"/>
      <c r="AB27" s="71"/>
      <c r="AC27" s="71"/>
      <c r="AD27" s="71"/>
      <c r="AE27" s="71"/>
    </row>
    <row r="28" spans="1:33" ht="3.75" customHeight="1" x14ac:dyDescent="0.3">
      <c r="A28" s="22"/>
      <c r="B28" s="183"/>
      <c r="C28" s="86"/>
      <c r="D28" s="86"/>
      <c r="E28" s="76"/>
      <c r="F28" s="86"/>
      <c r="G28" s="86"/>
      <c r="H28" s="86"/>
      <c r="I28" s="86"/>
      <c r="J28" s="86"/>
      <c r="K28" s="76"/>
      <c r="P28" s="180"/>
      <c r="Q28" s="71"/>
      <c r="R28" s="221"/>
      <c r="S28" s="22"/>
      <c r="T28" s="22"/>
      <c r="U28" s="71"/>
      <c r="V28" s="71"/>
      <c r="W28" s="71"/>
      <c r="X28" s="71"/>
      <c r="Y28" s="71"/>
      <c r="Z28" s="71"/>
      <c r="AA28" s="71"/>
      <c r="AB28" s="71"/>
      <c r="AC28" s="71"/>
      <c r="AD28" s="71"/>
      <c r="AE28" s="71"/>
    </row>
    <row r="29" spans="1:33" ht="16.5" customHeight="1" x14ac:dyDescent="0.3">
      <c r="A29" s="22"/>
      <c r="B29" s="184" t="str">
        <f>IF(R29="","","!")</f>
        <v>!</v>
      </c>
      <c r="C29" s="86" t="s">
        <v>124</v>
      </c>
      <c r="D29" s="86"/>
      <c r="E29" s="76"/>
      <c r="F29" s="86"/>
      <c r="G29" s="86" t="s">
        <v>235</v>
      </c>
      <c r="H29" s="399"/>
      <c r="I29" s="399"/>
      <c r="J29" s="399"/>
      <c r="K29" s="399"/>
      <c r="P29" s="181"/>
      <c r="Q29" s="178" t="str">
        <f>IF(R29="","","ï")</f>
        <v>ï</v>
      </c>
      <c r="R29" s="221" t="str">
        <f>IF(ISBLANK(EA_EAWZ_WW)=TRUE,TBS_Fehler_2,"")</f>
        <v>Bitte dieses Feld (roter Bereich = Pflichtfeld) ausfüllen!</v>
      </c>
      <c r="S29" s="22"/>
      <c r="T29" s="22"/>
      <c r="U29" s="71"/>
      <c r="V29" s="71"/>
      <c r="W29" s="71"/>
      <c r="X29" s="71"/>
      <c r="Y29" s="71"/>
      <c r="Z29" s="71"/>
      <c r="AA29" s="71"/>
      <c r="AB29" s="71"/>
      <c r="AC29" s="71"/>
      <c r="AD29" s="71"/>
      <c r="AE29" s="71"/>
    </row>
    <row r="30" spans="1:33" ht="3.75" customHeight="1" x14ac:dyDescent="0.3">
      <c r="A30" s="22"/>
      <c r="B30" s="183"/>
      <c r="C30" s="86"/>
      <c r="D30" s="86"/>
      <c r="E30" s="76"/>
      <c r="F30" s="86"/>
      <c r="G30" s="86"/>
      <c r="H30" s="86"/>
      <c r="I30" s="86"/>
      <c r="J30" s="86"/>
      <c r="K30" s="76"/>
      <c r="P30" s="180"/>
      <c r="Q30" s="71"/>
      <c r="R30" s="221"/>
      <c r="S30" s="22"/>
      <c r="T30" s="22"/>
      <c r="U30" s="71"/>
      <c r="V30" s="71"/>
      <c r="W30" s="71"/>
      <c r="X30" s="71"/>
      <c r="Y30" s="71"/>
      <c r="Z30" s="71"/>
      <c r="AA30" s="71"/>
      <c r="AB30" s="71"/>
      <c r="AC30" s="71"/>
      <c r="AD30" s="71"/>
      <c r="AE30" s="71"/>
    </row>
    <row r="31" spans="1:33" ht="16.5" customHeight="1" x14ac:dyDescent="0.3">
      <c r="A31" s="22"/>
      <c r="B31" s="184" t="str">
        <f>IF(R31="","","!")</f>
        <v>!</v>
      </c>
      <c r="C31" s="86" t="s">
        <v>125</v>
      </c>
      <c r="D31" s="86"/>
      <c r="E31" s="76"/>
      <c r="F31" s="86"/>
      <c r="G31" s="86" t="s">
        <v>236</v>
      </c>
      <c r="H31" s="399"/>
      <c r="I31" s="399"/>
      <c r="J31" s="399"/>
      <c r="K31" s="399"/>
      <c r="P31" s="181"/>
      <c r="Q31" s="178" t="str">
        <f>IF(R31="","","ï")</f>
        <v>ï</v>
      </c>
      <c r="R31" s="221" t="str">
        <f>IF(ISBLANK(EA_EAWZ_RH)=TRUE,TBS_Fehler_2,"")</f>
        <v>Bitte dieses Feld (roter Bereich = Pflichtfeld) ausfüllen!</v>
      </c>
      <c r="S31" s="22"/>
      <c r="T31" s="22"/>
      <c r="U31" s="71"/>
      <c r="V31" s="71"/>
      <c r="W31" s="71"/>
      <c r="X31" s="71"/>
      <c r="Y31" s="71"/>
      <c r="Z31" s="71"/>
      <c r="AA31" s="71"/>
      <c r="AB31" s="71"/>
      <c r="AC31" s="71"/>
      <c r="AD31" s="71"/>
      <c r="AE31" s="71"/>
    </row>
    <row r="32" spans="1:33" ht="3.75" customHeight="1" x14ac:dyDescent="0.3">
      <c r="A32" s="22"/>
      <c r="B32" s="183"/>
      <c r="C32" s="86"/>
      <c r="D32" s="86"/>
      <c r="E32" s="76"/>
      <c r="F32" s="86"/>
      <c r="G32" s="86"/>
      <c r="H32" s="86"/>
      <c r="I32" s="86"/>
      <c r="J32" s="86"/>
      <c r="K32" s="76"/>
      <c r="P32" s="180"/>
      <c r="Q32" s="71"/>
      <c r="R32" s="221"/>
      <c r="S32" s="22"/>
      <c r="T32" s="22"/>
      <c r="U32" s="71"/>
      <c r="V32" s="71"/>
      <c r="W32" s="71"/>
      <c r="X32" s="71"/>
      <c r="Y32" s="71"/>
      <c r="Z32" s="71"/>
      <c r="AA32" s="71"/>
      <c r="AB32" s="71"/>
      <c r="AC32" s="71"/>
      <c r="AD32" s="71"/>
      <c r="AE32" s="71"/>
    </row>
    <row r="33" spans="1:31" ht="16.5" customHeight="1" x14ac:dyDescent="0.3">
      <c r="A33" s="22"/>
      <c r="B33" s="184" t="str">
        <f>IF(R33="","","!")</f>
        <v>!</v>
      </c>
      <c r="C33" s="86" t="s">
        <v>77</v>
      </c>
      <c r="D33" s="86"/>
      <c r="E33" s="76"/>
      <c r="F33" s="86"/>
      <c r="G33" s="86" t="s">
        <v>56</v>
      </c>
      <c r="H33" s="397"/>
      <c r="I33" s="397"/>
      <c r="J33" s="397"/>
      <c r="K33" s="397"/>
      <c r="P33" s="181"/>
      <c r="Q33" s="178" t="str">
        <f>IF(R33="","","ï")</f>
        <v>ï</v>
      </c>
      <c r="R33" s="221" t="str">
        <f>IF(ISBLANK(EA_BGF)=TRUE,TBS_Fehler_2,"")</f>
        <v>Bitte dieses Feld (roter Bereich = Pflichtfeld) ausfüllen!</v>
      </c>
      <c r="S33" s="22"/>
      <c r="T33" s="22"/>
      <c r="U33" s="141"/>
      <c r="V33" s="71"/>
      <c r="W33" s="71"/>
      <c r="X33" s="71"/>
      <c r="Y33" s="71"/>
      <c r="Z33" s="71"/>
      <c r="AA33" s="71"/>
      <c r="AB33" s="71"/>
      <c r="AC33" s="71"/>
      <c r="AD33" s="71"/>
      <c r="AE33" s="71"/>
    </row>
    <row r="34" spans="1:31" ht="3.75" customHeight="1" x14ac:dyDescent="0.3">
      <c r="A34" s="22"/>
      <c r="B34" s="183"/>
      <c r="C34" s="86"/>
      <c r="D34" s="86"/>
      <c r="E34" s="76"/>
      <c r="F34" s="86"/>
      <c r="G34" s="86"/>
      <c r="H34" s="86"/>
      <c r="I34" s="86"/>
      <c r="J34" s="86"/>
      <c r="K34" s="76"/>
      <c r="P34" s="180"/>
      <c r="Q34" s="71"/>
      <c r="R34" s="221"/>
      <c r="S34" s="22"/>
      <c r="T34" s="22"/>
      <c r="U34" s="71"/>
      <c r="V34" s="71"/>
      <c r="W34" s="71"/>
      <c r="X34" s="71"/>
      <c r="Y34" s="71"/>
      <c r="Z34" s="71"/>
      <c r="AA34" s="71"/>
      <c r="AB34" s="71"/>
      <c r="AC34" s="71"/>
      <c r="AD34" s="71"/>
      <c r="AE34" s="71"/>
    </row>
    <row r="35" spans="1:31" ht="16.5" customHeight="1" x14ac:dyDescent="0.3">
      <c r="A35" s="22"/>
      <c r="B35" s="184" t="str">
        <f>IF(R35="","","!")</f>
        <v/>
      </c>
      <c r="C35" s="86" t="s">
        <v>207</v>
      </c>
      <c r="D35" s="86"/>
      <c r="E35" s="76"/>
      <c r="F35" s="86"/>
      <c r="G35" s="86" t="s">
        <v>260</v>
      </c>
      <c r="H35" s="395"/>
      <c r="I35" s="395"/>
      <c r="J35" s="395"/>
      <c r="K35" s="395"/>
      <c r="L35" s="86"/>
      <c r="M35" s="86"/>
      <c r="N35" s="86"/>
      <c r="O35" s="76"/>
      <c r="P35" s="181"/>
      <c r="Q35" s="178" t="str">
        <f>IF(R35="","","ï")</f>
        <v/>
      </c>
      <c r="R35" s="221" t="str">
        <f>IF(AND(ISBLANK(EA_PV_Ertrag)=TRUE,ISBLANK(EA_PV_Export)=FALSE),TBS_Fehler_2,IF(EA_PV_Ertrag&lt;EA_PV_Export,TBS_0_1,""))</f>
        <v/>
      </c>
      <c r="S35" s="54"/>
      <c r="T35" s="22"/>
      <c r="U35" s="141"/>
      <c r="V35" s="71"/>
      <c r="W35" s="71"/>
      <c r="X35" s="71"/>
      <c r="Y35" s="71"/>
      <c r="Z35" s="71"/>
      <c r="AA35" s="71"/>
      <c r="AB35" s="71"/>
      <c r="AC35" s="71"/>
      <c r="AD35" s="71"/>
      <c r="AE35" s="71"/>
    </row>
    <row r="36" spans="1:31" ht="3.75" customHeight="1" x14ac:dyDescent="0.3">
      <c r="A36" s="22"/>
      <c r="B36" s="183"/>
      <c r="G36" s="3"/>
      <c r="P36" s="180"/>
      <c r="Q36" s="71"/>
      <c r="R36" s="221"/>
      <c r="S36" s="22"/>
      <c r="T36" s="22"/>
      <c r="U36" s="71"/>
      <c r="V36" s="71"/>
      <c r="W36" s="71"/>
      <c r="X36" s="71"/>
      <c r="Y36" s="71"/>
      <c r="Z36" s="71"/>
      <c r="AA36" s="71"/>
      <c r="AB36" s="71"/>
      <c r="AC36" s="71"/>
      <c r="AD36" s="71"/>
      <c r="AE36" s="71"/>
    </row>
    <row r="37" spans="1:31" ht="16.5" customHeight="1" x14ac:dyDescent="0.3">
      <c r="A37" s="22"/>
      <c r="B37" s="184" t="str">
        <f>IF(R37="","","!")</f>
        <v/>
      </c>
      <c r="C37" s="86" t="s">
        <v>128</v>
      </c>
      <c r="D37" s="86"/>
      <c r="E37" s="76"/>
      <c r="F37" s="86"/>
      <c r="G37" s="86" t="s">
        <v>296</v>
      </c>
      <c r="H37" s="395"/>
      <c r="I37" s="395"/>
      <c r="J37" s="395"/>
      <c r="K37" s="395"/>
      <c r="L37" s="86"/>
      <c r="M37" s="86"/>
      <c r="N37" s="86"/>
      <c r="O37" s="76"/>
      <c r="P37" s="181"/>
      <c r="Q37" s="178" t="str">
        <f>IF(R37="","","ï")</f>
        <v/>
      </c>
      <c r="R37" s="221" t="str">
        <f>IF(AND(ISBLANK(EA_PV_Ertrag)=FALSE,ISBLANK(EA_PV_Export)=TRUE),TBS_Fehler_2,IF(EA_PV_Ertrag&lt;EA_PV_Export,TBS_0_1,""))</f>
        <v/>
      </c>
      <c r="S37" s="22"/>
      <c r="T37" s="22"/>
      <c r="U37" s="71"/>
      <c r="V37" s="71"/>
      <c r="W37" s="71"/>
      <c r="X37" s="71"/>
      <c r="Y37" s="71"/>
      <c r="Z37" s="71"/>
      <c r="AA37" s="71"/>
      <c r="AB37" s="71"/>
      <c r="AC37" s="71"/>
      <c r="AD37" s="71"/>
      <c r="AE37" s="71"/>
    </row>
    <row r="38" spans="1:31" x14ac:dyDescent="0.3">
      <c r="A38" s="22"/>
      <c r="C38" s="50"/>
      <c r="D38" s="50"/>
      <c r="E38" s="50"/>
      <c r="F38" s="231"/>
      <c r="G38" s="50"/>
      <c r="H38" s="50"/>
      <c r="I38" s="50"/>
      <c r="J38" s="50"/>
      <c r="K38" s="50"/>
      <c r="L38" s="231"/>
      <c r="M38" s="50"/>
      <c r="N38" s="50"/>
      <c r="O38" s="50"/>
      <c r="P38" s="76"/>
      <c r="Q38" s="78"/>
      <c r="R38" s="24"/>
      <c r="S38" s="24"/>
      <c r="T38" s="24"/>
      <c r="U38" s="71"/>
      <c r="V38" s="71"/>
      <c r="W38" s="71"/>
      <c r="X38" s="71"/>
      <c r="Y38" s="71"/>
      <c r="Z38" s="71"/>
      <c r="AA38" s="71"/>
      <c r="AB38" s="71"/>
      <c r="AC38" s="71"/>
      <c r="AD38" s="71"/>
      <c r="AE38" s="71"/>
    </row>
    <row r="39" spans="1:31" x14ac:dyDescent="0.3">
      <c r="A39" s="22"/>
      <c r="C39" s="47" t="str">
        <f>$A$2&amp;".3 "&amp;UPPER("Hinweis zur Berechnung")</f>
        <v>0.3 HINWEIS ZUR BERECHNUNG</v>
      </c>
      <c r="D39" s="50"/>
      <c r="E39" s="50"/>
      <c r="F39" s="231"/>
      <c r="G39" s="50"/>
      <c r="H39" s="50"/>
      <c r="I39" s="50"/>
      <c r="J39" s="50"/>
      <c r="K39" s="50"/>
      <c r="L39" s="231"/>
      <c r="M39" s="50"/>
      <c r="N39" s="50"/>
      <c r="O39" s="50"/>
      <c r="P39" s="76"/>
      <c r="Q39" s="78"/>
      <c r="R39" s="24"/>
      <c r="S39" s="24"/>
      <c r="T39" s="24"/>
      <c r="U39" s="71"/>
      <c r="V39" s="71"/>
      <c r="W39" s="71"/>
      <c r="X39" s="71"/>
      <c r="Y39" s="71"/>
      <c r="Z39" s="71"/>
      <c r="AA39" s="71"/>
      <c r="AB39" s="71"/>
      <c r="AC39" s="71"/>
      <c r="AD39" s="71"/>
      <c r="AE39" s="71"/>
    </row>
    <row r="40" spans="1:31" ht="7.5" customHeight="1" x14ac:dyDescent="0.3">
      <c r="A40" s="22"/>
      <c r="C40" s="47"/>
      <c r="D40" s="50"/>
      <c r="E40" s="50"/>
      <c r="F40" s="231"/>
      <c r="G40" s="50"/>
      <c r="H40" s="50"/>
      <c r="I40" s="50"/>
      <c r="J40" s="50"/>
      <c r="K40" s="50"/>
      <c r="L40" s="231"/>
      <c r="M40" s="50"/>
      <c r="N40" s="50"/>
      <c r="O40" s="50"/>
      <c r="P40" s="76"/>
      <c r="Q40" s="78"/>
      <c r="R40" s="24"/>
      <c r="S40" s="24"/>
      <c r="T40" s="24"/>
      <c r="U40" s="71"/>
      <c r="V40" s="71"/>
      <c r="W40" s="71"/>
      <c r="X40" s="71"/>
      <c r="Y40" s="71"/>
      <c r="Z40" s="71"/>
      <c r="AA40" s="71"/>
      <c r="AB40" s="71"/>
      <c r="AC40" s="71"/>
      <c r="AD40" s="71"/>
      <c r="AE40" s="71"/>
    </row>
    <row r="41" spans="1:31" ht="66" customHeight="1" x14ac:dyDescent="0.3">
      <c r="A41" s="22"/>
      <c r="C41" s="393" t="s">
        <v>266</v>
      </c>
      <c r="D41" s="393"/>
      <c r="E41" s="393"/>
      <c r="F41" s="393"/>
      <c r="G41" s="393"/>
      <c r="H41" s="393"/>
      <c r="I41" s="393"/>
      <c r="J41" s="393"/>
      <c r="K41" s="393"/>
      <c r="L41" s="393"/>
      <c r="M41" s="393"/>
      <c r="N41" s="393"/>
      <c r="O41" s="393"/>
      <c r="P41" s="76"/>
      <c r="Q41" s="78"/>
      <c r="R41" s="24"/>
      <c r="S41" s="24"/>
      <c r="T41" s="24"/>
      <c r="U41" s="71"/>
      <c r="V41" s="71"/>
      <c r="W41" s="71"/>
      <c r="X41" s="71"/>
      <c r="Y41" s="71"/>
      <c r="Z41" s="71"/>
      <c r="AA41" s="71"/>
      <c r="AB41" s="71"/>
      <c r="AC41" s="71"/>
      <c r="AD41" s="71"/>
      <c r="AE41" s="71"/>
    </row>
    <row r="42" spans="1:31" x14ac:dyDescent="0.3">
      <c r="A42" s="22"/>
      <c r="C42" s="50"/>
      <c r="D42" s="50"/>
      <c r="E42" s="50"/>
      <c r="F42" s="231"/>
      <c r="G42" s="50"/>
      <c r="H42" s="50"/>
      <c r="I42" s="50"/>
      <c r="J42" s="50"/>
      <c r="K42" s="50"/>
      <c r="L42" s="231"/>
      <c r="M42" s="50"/>
      <c r="N42" s="50"/>
      <c r="O42" s="50"/>
      <c r="P42" s="76"/>
      <c r="Q42" s="78"/>
      <c r="R42" s="24"/>
      <c r="S42" s="24"/>
      <c r="T42" s="24"/>
      <c r="U42" s="71"/>
      <c r="V42" s="71"/>
      <c r="W42" s="71"/>
      <c r="X42" s="71"/>
      <c r="Y42" s="71"/>
      <c r="Z42" s="71"/>
      <c r="AA42" s="71"/>
      <c r="AB42" s="71"/>
      <c r="AC42" s="71"/>
      <c r="AD42" s="71"/>
      <c r="AE42" s="71"/>
    </row>
    <row r="43" spans="1:31" x14ac:dyDescent="0.3">
      <c r="A43" s="22"/>
      <c r="C43" s="47" t="str">
        <f>$A$2&amp;".4 "&amp;UPPER("Version dieses Excel-Tools")</f>
        <v>0.4 VERSION DIESES EXCEL-TOOLS</v>
      </c>
      <c r="D43" s="50"/>
      <c r="E43" s="50"/>
      <c r="F43" s="231"/>
      <c r="G43" s="50"/>
      <c r="H43" s="50"/>
      <c r="I43" s="50"/>
      <c r="J43" s="50"/>
      <c r="K43" s="50"/>
      <c r="L43" s="231"/>
      <c r="M43" s="50"/>
      <c r="N43" s="50"/>
      <c r="O43" s="50"/>
      <c r="P43" s="76"/>
      <c r="Q43" s="78"/>
      <c r="R43" s="24"/>
      <c r="S43" s="24"/>
      <c r="T43" s="24"/>
      <c r="U43" s="71"/>
      <c r="V43" s="71"/>
      <c r="W43" s="71"/>
      <c r="X43" s="71"/>
      <c r="Y43" s="71"/>
      <c r="Z43" s="71"/>
      <c r="AA43" s="71"/>
      <c r="AB43" s="71"/>
      <c r="AC43" s="71"/>
      <c r="AD43" s="71"/>
      <c r="AE43" s="71"/>
    </row>
    <row r="44" spans="1:31" ht="7.5" customHeight="1" x14ac:dyDescent="0.3">
      <c r="A44" s="22"/>
      <c r="C44" s="47"/>
      <c r="D44" s="50"/>
      <c r="E44" s="50"/>
      <c r="F44" s="231"/>
      <c r="G44" s="50"/>
      <c r="H44" s="50"/>
      <c r="I44" s="50"/>
      <c r="J44" s="50"/>
      <c r="K44" s="50"/>
      <c r="L44" s="231"/>
      <c r="M44" s="50"/>
      <c r="N44" s="50"/>
      <c r="O44" s="50"/>
      <c r="P44" s="76"/>
      <c r="Q44" s="78"/>
      <c r="R44" s="24"/>
      <c r="S44" s="24"/>
      <c r="T44" s="24"/>
      <c r="U44" s="71"/>
      <c r="V44" s="71"/>
      <c r="W44" s="71"/>
      <c r="X44" s="71"/>
      <c r="Y44" s="71"/>
      <c r="Z44" s="71"/>
      <c r="AA44" s="71"/>
      <c r="AB44" s="71"/>
      <c r="AC44" s="71"/>
      <c r="AD44" s="71"/>
      <c r="AE44" s="71"/>
    </row>
    <row r="45" spans="1:31" ht="18.75" customHeight="1" x14ac:dyDescent="0.3">
      <c r="A45" s="22"/>
      <c r="C45" s="393" t="s">
        <v>366</v>
      </c>
      <c r="D45" s="393"/>
      <c r="E45" s="396" t="str">
        <f ca="1">IF(TODAY()&gt;Auswahl!E8,"Prüfen Sie die Homepage von Energie Tirol auf eine aktuelle Version!","")</f>
        <v>Prüfen Sie die Homepage von Energie Tirol auf eine aktuelle Version!</v>
      </c>
      <c r="F45" s="396"/>
      <c r="G45" s="396"/>
      <c r="H45" s="396"/>
      <c r="I45" s="396"/>
      <c r="J45" s="396"/>
      <c r="K45" s="396"/>
      <c r="L45" s="396"/>
      <c r="M45" s="396"/>
      <c r="N45" s="396"/>
      <c r="O45" s="396"/>
      <c r="P45" s="76"/>
      <c r="Q45" s="78"/>
      <c r="R45" s="24"/>
      <c r="S45" s="24"/>
      <c r="T45" s="24"/>
      <c r="U45" s="71"/>
      <c r="V45" s="71"/>
      <c r="W45" s="71"/>
      <c r="X45" s="71"/>
      <c r="Y45" s="71"/>
      <c r="Z45" s="71"/>
      <c r="AA45" s="71"/>
      <c r="AB45" s="71"/>
      <c r="AC45" s="71"/>
      <c r="AD45" s="71"/>
      <c r="AE45" s="71"/>
    </row>
    <row r="46" spans="1:31" x14ac:dyDescent="0.3">
      <c r="A46" s="22"/>
      <c r="B46" s="71"/>
      <c r="C46" s="24"/>
      <c r="D46" s="24"/>
      <c r="E46" s="31"/>
      <c r="F46" s="24"/>
      <c r="G46" s="24"/>
      <c r="H46" s="24"/>
      <c r="I46" s="24"/>
      <c r="J46" s="24"/>
      <c r="K46" s="31"/>
      <c r="L46" s="24"/>
      <c r="M46" s="24"/>
      <c r="N46" s="24"/>
      <c r="O46" s="31"/>
      <c r="P46" s="78"/>
      <c r="Q46" s="78"/>
      <c r="R46" s="24"/>
      <c r="S46" s="24"/>
      <c r="T46" s="24"/>
      <c r="U46" s="71"/>
      <c r="V46" s="71"/>
      <c r="W46" s="71"/>
      <c r="X46" s="71"/>
      <c r="Y46" s="71"/>
      <c r="Z46" s="71"/>
      <c r="AA46" s="71"/>
      <c r="AB46" s="71"/>
      <c r="AC46" s="71"/>
      <c r="AD46" s="71"/>
      <c r="AE46" s="71"/>
    </row>
    <row r="47" spans="1:31" x14ac:dyDescent="0.3">
      <c r="A47" s="22"/>
      <c r="B47" s="71"/>
      <c r="C47" s="24"/>
      <c r="D47" s="24"/>
      <c r="E47" s="31"/>
      <c r="F47" s="24"/>
      <c r="G47" s="24"/>
      <c r="H47" s="24"/>
      <c r="I47" s="24"/>
      <c r="J47" s="24"/>
      <c r="K47" s="31"/>
      <c r="L47" s="24"/>
      <c r="M47" s="24"/>
      <c r="N47" s="24"/>
      <c r="O47" s="31"/>
      <c r="P47" s="78"/>
      <c r="Q47" s="78"/>
      <c r="R47" s="24"/>
      <c r="S47" s="24"/>
      <c r="T47" s="24"/>
      <c r="U47" s="71"/>
      <c r="V47" s="71"/>
      <c r="W47" s="71"/>
      <c r="X47" s="71"/>
      <c r="Y47" s="71"/>
      <c r="Z47" s="71"/>
      <c r="AA47" s="71"/>
      <c r="AB47" s="71"/>
      <c r="AC47" s="71"/>
      <c r="AD47" s="71"/>
      <c r="AE47" s="71"/>
    </row>
    <row r="48" spans="1:31" x14ac:dyDescent="0.3">
      <c r="A48" s="22"/>
      <c r="B48" s="71"/>
      <c r="C48" s="24"/>
      <c r="D48" s="24"/>
      <c r="E48" s="31"/>
      <c r="F48" s="24"/>
      <c r="G48" s="24"/>
      <c r="H48" s="24"/>
      <c r="I48" s="24"/>
      <c r="J48" s="24"/>
      <c r="K48" s="31"/>
      <c r="L48" s="24"/>
      <c r="M48" s="24"/>
      <c r="N48" s="24"/>
      <c r="O48" s="31"/>
      <c r="P48" s="78"/>
      <c r="Q48" s="78"/>
      <c r="R48" s="24"/>
      <c r="S48" s="24"/>
      <c r="T48" s="24"/>
      <c r="U48" s="71"/>
      <c r="V48" s="71"/>
      <c r="W48" s="71"/>
      <c r="X48" s="71"/>
      <c r="Y48" s="71"/>
      <c r="Z48" s="71"/>
      <c r="AA48" s="71"/>
      <c r="AB48" s="71"/>
      <c r="AC48" s="71"/>
      <c r="AD48" s="71"/>
      <c r="AE48" s="71"/>
    </row>
    <row r="49" spans="1:31" x14ac:dyDescent="0.3">
      <c r="A49" s="22"/>
      <c r="B49" s="71"/>
      <c r="C49" s="24"/>
      <c r="D49" s="24"/>
      <c r="E49" s="31"/>
      <c r="F49" s="24"/>
      <c r="G49" s="24"/>
      <c r="H49" s="24"/>
      <c r="I49" s="24"/>
      <c r="J49" s="24"/>
      <c r="K49" s="31"/>
      <c r="L49" s="24"/>
      <c r="M49" s="24"/>
      <c r="N49" s="24"/>
      <c r="O49" s="31"/>
      <c r="P49" s="78"/>
      <c r="Q49" s="78"/>
      <c r="R49" s="24"/>
      <c r="S49" s="24"/>
      <c r="T49" s="24"/>
      <c r="U49" s="71"/>
      <c r="V49" s="71"/>
      <c r="W49" s="71"/>
      <c r="X49" s="71"/>
      <c r="Y49" s="71"/>
      <c r="Z49" s="71"/>
      <c r="AA49" s="71"/>
      <c r="AB49" s="71"/>
      <c r="AC49" s="71"/>
      <c r="AD49" s="71"/>
      <c r="AE49" s="71"/>
    </row>
    <row r="50" spans="1:31" x14ac:dyDescent="0.3">
      <c r="A50" s="22"/>
      <c r="B50" s="71"/>
      <c r="C50" s="24"/>
      <c r="D50" s="24"/>
      <c r="E50" s="31"/>
      <c r="F50" s="24"/>
      <c r="G50" s="24"/>
      <c r="H50" s="24"/>
      <c r="I50" s="24"/>
      <c r="J50" s="24"/>
      <c r="K50" s="31"/>
      <c r="L50" s="24"/>
      <c r="M50" s="24"/>
      <c r="N50" s="24"/>
      <c r="O50" s="31"/>
      <c r="P50" s="78"/>
      <c r="Q50" s="78"/>
      <c r="R50" s="24"/>
      <c r="S50" s="24"/>
      <c r="T50" s="24"/>
      <c r="U50" s="71"/>
      <c r="V50" s="71"/>
      <c r="W50" s="71"/>
      <c r="X50" s="71"/>
      <c r="Y50" s="71"/>
      <c r="Z50" s="71"/>
      <c r="AA50" s="71"/>
      <c r="AB50" s="71"/>
      <c r="AC50" s="71"/>
      <c r="AD50" s="71"/>
      <c r="AE50" s="71"/>
    </row>
    <row r="51" spans="1:31" x14ac:dyDescent="0.3">
      <c r="A51" s="22"/>
      <c r="B51" s="71"/>
      <c r="C51" s="24"/>
      <c r="D51" s="24"/>
      <c r="E51" s="31"/>
      <c r="F51" s="24"/>
      <c r="G51" s="24"/>
      <c r="H51" s="24"/>
      <c r="I51" s="24"/>
      <c r="J51" s="24"/>
      <c r="K51" s="31"/>
      <c r="L51" s="24"/>
      <c r="M51" s="24"/>
      <c r="N51" s="24"/>
      <c r="O51" s="31"/>
      <c r="P51" s="78"/>
      <c r="Q51" s="78"/>
      <c r="R51" s="24"/>
      <c r="S51" s="24"/>
      <c r="T51" s="24"/>
      <c r="U51" s="71"/>
      <c r="V51" s="71"/>
      <c r="W51" s="71"/>
      <c r="X51" s="71"/>
      <c r="Y51" s="71"/>
      <c r="Z51" s="71"/>
      <c r="AA51" s="71"/>
      <c r="AB51" s="71"/>
      <c r="AC51" s="71"/>
      <c r="AD51" s="71"/>
      <c r="AE51" s="71"/>
    </row>
    <row r="52" spans="1:31" x14ac:dyDescent="0.3">
      <c r="A52" s="22"/>
      <c r="B52" s="71"/>
      <c r="C52" s="24"/>
      <c r="D52" s="24"/>
      <c r="E52" s="31"/>
      <c r="F52" s="24"/>
      <c r="G52" s="24"/>
      <c r="H52" s="24"/>
      <c r="I52" s="24"/>
      <c r="J52" s="24"/>
      <c r="K52" s="31"/>
      <c r="L52" s="24"/>
      <c r="M52" s="24"/>
      <c r="N52" s="24"/>
      <c r="O52" s="31"/>
      <c r="P52" s="78"/>
      <c r="Q52" s="78"/>
      <c r="R52" s="24"/>
      <c r="S52" s="24"/>
      <c r="T52" s="24"/>
      <c r="U52" s="71"/>
      <c r="V52" s="71"/>
      <c r="W52" s="71"/>
      <c r="X52" s="71"/>
      <c r="Y52" s="71"/>
      <c r="Z52" s="71"/>
      <c r="AA52" s="71"/>
      <c r="AB52" s="71"/>
      <c r="AC52" s="71"/>
      <c r="AD52" s="71"/>
      <c r="AE52" s="71"/>
    </row>
    <row r="53" spans="1:31" x14ac:dyDescent="0.3">
      <c r="A53" s="22"/>
      <c r="B53" s="71"/>
      <c r="C53" s="24"/>
      <c r="D53" s="24"/>
      <c r="E53" s="31"/>
      <c r="F53" s="24"/>
      <c r="G53" s="24"/>
      <c r="H53" s="24"/>
      <c r="I53" s="24"/>
      <c r="J53" s="24"/>
      <c r="K53" s="31"/>
      <c r="L53" s="24"/>
      <c r="M53" s="24"/>
      <c r="N53" s="24"/>
      <c r="O53" s="31"/>
      <c r="P53" s="78"/>
      <c r="Q53" s="78"/>
      <c r="R53" s="24"/>
      <c r="S53" s="24"/>
      <c r="T53" s="24"/>
      <c r="U53" s="71"/>
      <c r="V53" s="71"/>
      <c r="W53" s="71"/>
      <c r="X53" s="71"/>
      <c r="Y53" s="71"/>
      <c r="Z53" s="71"/>
      <c r="AA53" s="71"/>
      <c r="AB53" s="71"/>
      <c r="AC53" s="71"/>
      <c r="AD53" s="71"/>
      <c r="AE53" s="71"/>
    </row>
    <row r="54" spans="1:31" x14ac:dyDescent="0.3">
      <c r="A54" s="22"/>
      <c r="B54" s="71"/>
      <c r="C54" s="24"/>
      <c r="D54" s="24"/>
      <c r="E54" s="31"/>
      <c r="F54" s="24"/>
      <c r="G54" s="24"/>
      <c r="H54" s="24"/>
      <c r="I54" s="24"/>
      <c r="J54" s="24"/>
      <c r="K54" s="31"/>
      <c r="L54" s="24"/>
      <c r="M54" s="24"/>
      <c r="N54" s="24"/>
      <c r="O54" s="31"/>
      <c r="P54" s="78"/>
      <c r="Q54" s="78"/>
      <c r="R54" s="24"/>
      <c r="S54" s="24"/>
      <c r="T54" s="24"/>
      <c r="U54" s="71"/>
      <c r="V54" s="71"/>
      <c r="W54" s="71"/>
      <c r="X54" s="71"/>
      <c r="Y54" s="71"/>
      <c r="Z54" s="71"/>
      <c r="AA54" s="71"/>
      <c r="AB54" s="71"/>
      <c r="AC54" s="71"/>
      <c r="AD54" s="71"/>
      <c r="AE54" s="71"/>
    </row>
    <row r="55" spans="1:31" x14ac:dyDescent="0.3">
      <c r="A55" s="22"/>
      <c r="B55" s="71"/>
      <c r="C55" s="24"/>
      <c r="D55" s="24"/>
      <c r="E55" s="31"/>
      <c r="F55" s="24"/>
      <c r="G55" s="24"/>
      <c r="H55" s="24"/>
      <c r="I55" s="24"/>
      <c r="J55" s="24"/>
      <c r="K55" s="31"/>
      <c r="L55" s="24"/>
      <c r="M55" s="24"/>
      <c r="N55" s="24"/>
      <c r="O55" s="31"/>
      <c r="P55" s="78"/>
      <c r="Q55" s="78"/>
      <c r="R55" s="24"/>
      <c r="S55" s="24"/>
      <c r="T55" s="24"/>
      <c r="U55" s="71"/>
      <c r="V55" s="71"/>
      <c r="W55" s="71"/>
      <c r="X55" s="71"/>
      <c r="Y55" s="71"/>
      <c r="Z55" s="71"/>
      <c r="AA55" s="71"/>
      <c r="AB55" s="71"/>
      <c r="AC55" s="71"/>
      <c r="AD55" s="71"/>
      <c r="AE55" s="71"/>
    </row>
    <row r="56" spans="1:31" x14ac:dyDescent="0.3">
      <c r="A56" s="22"/>
      <c r="B56" s="71"/>
      <c r="C56" s="24"/>
      <c r="D56" s="24"/>
      <c r="E56" s="31"/>
      <c r="F56" s="24"/>
      <c r="G56" s="24"/>
      <c r="H56" s="24"/>
      <c r="I56" s="24"/>
      <c r="J56" s="24"/>
      <c r="K56" s="31"/>
      <c r="L56" s="24"/>
      <c r="M56" s="24"/>
      <c r="N56" s="24"/>
      <c r="O56" s="31"/>
      <c r="P56" s="78"/>
      <c r="Q56" s="78"/>
      <c r="R56" s="24"/>
      <c r="S56" s="24"/>
      <c r="T56" s="24"/>
      <c r="U56" s="71"/>
      <c r="V56" s="71"/>
      <c r="W56" s="71"/>
      <c r="X56" s="71"/>
      <c r="Y56" s="71"/>
      <c r="Z56" s="71"/>
      <c r="AA56" s="71"/>
      <c r="AB56" s="71"/>
      <c r="AC56" s="71"/>
      <c r="AD56" s="71"/>
      <c r="AE56" s="71"/>
    </row>
    <row r="57" spans="1:31" x14ac:dyDescent="0.3">
      <c r="A57" s="22"/>
      <c r="B57" s="71"/>
      <c r="C57" s="22"/>
      <c r="D57" s="22"/>
      <c r="E57" s="23"/>
      <c r="F57" s="22"/>
      <c r="G57" s="22"/>
      <c r="H57" s="22"/>
      <c r="I57" s="22"/>
      <c r="J57" s="22"/>
      <c r="K57" s="23"/>
      <c r="L57" s="22"/>
      <c r="M57" s="22"/>
      <c r="N57" s="22"/>
      <c r="O57" s="23"/>
      <c r="P57" s="71"/>
      <c r="Q57" s="71"/>
      <c r="R57" s="22"/>
      <c r="S57" s="22"/>
      <c r="T57" s="22"/>
      <c r="U57" s="71"/>
      <c r="V57" s="71"/>
      <c r="W57" s="71"/>
      <c r="X57" s="71"/>
      <c r="Y57" s="71"/>
      <c r="Z57" s="71"/>
      <c r="AA57" s="71"/>
      <c r="AB57" s="71"/>
      <c r="AC57" s="71"/>
      <c r="AD57" s="71"/>
      <c r="AE57" s="71"/>
    </row>
    <row r="58" spans="1:31" x14ac:dyDescent="0.3">
      <c r="A58" s="22"/>
      <c r="B58" s="71"/>
      <c r="C58" s="22"/>
      <c r="D58" s="22"/>
      <c r="E58" s="23"/>
      <c r="F58" s="22"/>
      <c r="G58" s="22"/>
      <c r="H58" s="22"/>
      <c r="I58" s="22"/>
      <c r="J58" s="22"/>
      <c r="K58" s="23"/>
      <c r="L58" s="22"/>
      <c r="M58" s="22"/>
      <c r="N58" s="22"/>
      <c r="O58" s="23"/>
      <c r="P58" s="71"/>
      <c r="Q58" s="71"/>
      <c r="R58" s="22"/>
      <c r="S58" s="22"/>
      <c r="T58" s="22"/>
      <c r="U58" s="71"/>
      <c r="V58" s="71"/>
      <c r="W58" s="71"/>
      <c r="X58" s="71"/>
      <c r="Y58" s="71"/>
      <c r="Z58" s="71"/>
      <c r="AA58" s="71"/>
      <c r="AB58" s="71"/>
      <c r="AC58" s="71"/>
      <c r="AD58" s="71"/>
      <c r="AE58" s="71"/>
    </row>
    <row r="59" spans="1:31" x14ac:dyDescent="0.3">
      <c r="A59" s="22"/>
      <c r="B59" s="71"/>
      <c r="C59" s="22"/>
      <c r="D59" s="22"/>
      <c r="E59" s="23"/>
      <c r="F59" s="22"/>
      <c r="G59" s="22"/>
      <c r="H59" s="22"/>
      <c r="I59" s="22"/>
      <c r="J59" s="22"/>
      <c r="K59" s="23"/>
      <c r="L59" s="22"/>
      <c r="M59" s="22"/>
      <c r="N59" s="22"/>
      <c r="O59" s="23"/>
      <c r="P59" s="71"/>
      <c r="Q59" s="71"/>
      <c r="R59" s="22"/>
      <c r="S59" s="22"/>
      <c r="T59" s="22"/>
      <c r="U59" s="71"/>
      <c r="V59" s="71"/>
      <c r="W59" s="71"/>
      <c r="X59" s="71"/>
      <c r="Y59" s="71"/>
      <c r="Z59" s="71"/>
      <c r="AA59" s="71"/>
      <c r="AB59" s="71"/>
      <c r="AC59" s="71"/>
      <c r="AD59" s="71"/>
      <c r="AE59" s="71"/>
    </row>
    <row r="60" spans="1:31" x14ac:dyDescent="0.3">
      <c r="A60" s="22"/>
      <c r="B60" s="71"/>
      <c r="C60" s="22"/>
      <c r="D60" s="22"/>
      <c r="E60" s="23"/>
      <c r="F60" s="22"/>
      <c r="G60" s="22"/>
      <c r="H60" s="22"/>
      <c r="I60" s="22"/>
      <c r="J60" s="22"/>
      <c r="K60" s="23"/>
      <c r="L60" s="22"/>
      <c r="M60" s="22"/>
      <c r="N60" s="22"/>
      <c r="O60" s="23"/>
      <c r="P60" s="71"/>
      <c r="Q60" s="71"/>
      <c r="R60" s="22"/>
      <c r="S60" s="22"/>
      <c r="T60" s="22"/>
      <c r="U60" s="71"/>
      <c r="V60" s="71"/>
      <c r="W60" s="71"/>
      <c r="X60" s="71"/>
      <c r="Y60" s="71"/>
      <c r="Z60" s="71"/>
      <c r="AA60" s="71"/>
      <c r="AB60" s="71"/>
      <c r="AC60" s="71"/>
      <c r="AD60" s="71"/>
      <c r="AE60" s="71"/>
    </row>
    <row r="61" spans="1:31" x14ac:dyDescent="0.3">
      <c r="A61" s="22"/>
      <c r="B61" s="71"/>
      <c r="C61" s="22"/>
      <c r="D61" s="22"/>
      <c r="E61" s="23"/>
      <c r="F61" s="22"/>
      <c r="G61" s="22"/>
      <c r="H61" s="22"/>
      <c r="I61" s="22"/>
      <c r="J61" s="22"/>
      <c r="K61" s="23"/>
      <c r="L61" s="22"/>
      <c r="M61" s="22"/>
      <c r="N61" s="22"/>
      <c r="O61" s="23"/>
      <c r="P61" s="71"/>
      <c r="Q61" s="71"/>
      <c r="R61" s="22"/>
      <c r="S61" s="22"/>
      <c r="T61" s="22"/>
      <c r="U61" s="71"/>
      <c r="V61" s="71"/>
      <c r="W61" s="71"/>
      <c r="X61" s="71"/>
      <c r="Y61" s="71"/>
      <c r="Z61" s="71"/>
      <c r="AA61" s="71"/>
      <c r="AB61" s="71"/>
      <c r="AC61" s="71"/>
      <c r="AD61" s="71"/>
      <c r="AE61" s="71"/>
    </row>
    <row r="62" spans="1:31" x14ac:dyDescent="0.3">
      <c r="A62" s="22"/>
      <c r="B62" s="71"/>
      <c r="C62" s="22"/>
      <c r="D62" s="22"/>
      <c r="E62" s="23"/>
      <c r="F62" s="22"/>
      <c r="G62" s="22"/>
      <c r="H62" s="22"/>
      <c r="I62" s="22"/>
      <c r="J62" s="22"/>
      <c r="K62" s="23"/>
      <c r="L62" s="22"/>
      <c r="M62" s="22"/>
      <c r="N62" s="22"/>
      <c r="O62" s="23"/>
      <c r="P62" s="71"/>
      <c r="Q62" s="71"/>
      <c r="R62" s="22"/>
      <c r="S62" s="22"/>
      <c r="T62" s="22"/>
      <c r="U62" s="71"/>
      <c r="V62" s="71"/>
      <c r="W62" s="71"/>
      <c r="X62" s="71"/>
      <c r="Y62" s="71"/>
      <c r="Z62" s="71"/>
      <c r="AA62" s="71"/>
      <c r="AB62" s="71"/>
      <c r="AC62" s="71"/>
      <c r="AD62" s="71"/>
      <c r="AE62" s="71"/>
    </row>
    <row r="63" spans="1:31" x14ac:dyDescent="0.3">
      <c r="A63" s="22"/>
      <c r="B63" s="71"/>
      <c r="C63" s="22"/>
      <c r="D63" s="22"/>
      <c r="E63" s="23"/>
      <c r="F63" s="22"/>
      <c r="G63" s="22"/>
      <c r="H63" s="22"/>
      <c r="I63" s="22"/>
      <c r="J63" s="22"/>
      <c r="K63" s="23"/>
      <c r="L63" s="22"/>
      <c r="M63" s="22"/>
      <c r="N63" s="22"/>
      <c r="O63" s="23"/>
      <c r="P63" s="71"/>
      <c r="Q63" s="71"/>
      <c r="R63" s="22"/>
      <c r="S63" s="22"/>
      <c r="T63" s="22"/>
      <c r="U63" s="71"/>
      <c r="V63" s="71"/>
      <c r="W63" s="71"/>
      <c r="X63" s="71"/>
      <c r="Y63" s="71"/>
      <c r="Z63" s="71"/>
      <c r="AA63" s="71"/>
      <c r="AB63" s="71"/>
      <c r="AC63" s="71"/>
      <c r="AD63" s="71"/>
      <c r="AE63" s="71"/>
    </row>
    <row r="64" spans="1:31" x14ac:dyDescent="0.3">
      <c r="A64" s="22"/>
      <c r="B64" s="71"/>
      <c r="C64" s="22"/>
      <c r="D64" s="22"/>
      <c r="E64" s="23"/>
      <c r="F64" s="22"/>
      <c r="G64" s="22"/>
      <c r="H64" s="22"/>
      <c r="I64" s="22"/>
      <c r="J64" s="22"/>
      <c r="K64" s="23"/>
      <c r="L64" s="22"/>
      <c r="M64" s="22"/>
      <c r="N64" s="22"/>
      <c r="O64" s="23"/>
      <c r="P64" s="71"/>
      <c r="Q64" s="71"/>
      <c r="R64" s="22"/>
      <c r="S64" s="22"/>
      <c r="T64" s="22"/>
      <c r="U64" s="71"/>
      <c r="V64" s="71"/>
      <c r="W64" s="71"/>
      <c r="X64" s="71"/>
      <c r="Y64" s="71"/>
      <c r="Z64" s="71"/>
      <c r="AA64" s="71"/>
      <c r="AB64" s="71"/>
      <c r="AC64" s="71"/>
      <c r="AD64" s="71"/>
      <c r="AE64" s="71"/>
    </row>
    <row r="65" spans="1:31" x14ac:dyDescent="0.3">
      <c r="A65" s="22"/>
      <c r="B65" s="71"/>
      <c r="C65" s="22"/>
      <c r="D65" s="22"/>
      <c r="E65" s="23"/>
      <c r="F65" s="22"/>
      <c r="G65" s="22"/>
      <c r="H65" s="22"/>
      <c r="I65" s="22"/>
      <c r="J65" s="22"/>
      <c r="K65" s="23"/>
      <c r="L65" s="22"/>
      <c r="M65" s="22"/>
      <c r="N65" s="22"/>
      <c r="O65" s="23"/>
      <c r="P65" s="71"/>
      <c r="Q65" s="71"/>
      <c r="R65" s="22"/>
      <c r="S65" s="22"/>
      <c r="T65" s="22"/>
      <c r="U65" s="71"/>
      <c r="V65" s="71"/>
      <c r="W65" s="71"/>
      <c r="X65" s="71"/>
      <c r="Y65" s="71"/>
      <c r="Z65" s="71"/>
      <c r="AA65" s="71"/>
      <c r="AB65" s="71"/>
      <c r="AC65" s="71"/>
      <c r="AD65" s="71"/>
      <c r="AE65" s="71"/>
    </row>
    <row r="66" spans="1:31" x14ac:dyDescent="0.3">
      <c r="A66" s="22"/>
      <c r="B66" s="71"/>
      <c r="C66" s="22"/>
      <c r="D66" s="22"/>
      <c r="E66" s="23"/>
      <c r="F66" s="22"/>
      <c r="G66" s="22"/>
      <c r="H66" s="22"/>
      <c r="I66" s="22"/>
      <c r="J66" s="22"/>
      <c r="K66" s="23"/>
      <c r="L66" s="22"/>
      <c r="M66" s="22"/>
      <c r="N66" s="22"/>
      <c r="O66" s="23"/>
      <c r="P66" s="71"/>
      <c r="Q66" s="71"/>
      <c r="R66" s="22"/>
      <c r="S66" s="22"/>
      <c r="T66" s="22"/>
      <c r="U66" s="71"/>
      <c r="V66" s="71"/>
      <c r="W66" s="71"/>
      <c r="X66" s="71"/>
      <c r="Y66" s="71"/>
      <c r="Z66" s="71"/>
      <c r="AA66" s="71"/>
      <c r="AB66" s="71"/>
      <c r="AC66" s="71"/>
      <c r="AD66" s="71"/>
      <c r="AE66" s="71"/>
    </row>
    <row r="67" spans="1:31" x14ac:dyDescent="0.3">
      <c r="A67" s="22"/>
      <c r="B67" s="71"/>
      <c r="C67" s="22"/>
      <c r="D67" s="22"/>
      <c r="E67" s="23"/>
      <c r="F67" s="22"/>
      <c r="G67" s="22"/>
      <c r="H67" s="22"/>
      <c r="I67" s="22"/>
      <c r="J67" s="22"/>
      <c r="K67" s="23"/>
      <c r="L67" s="22"/>
      <c r="M67" s="22"/>
      <c r="N67" s="22"/>
      <c r="O67" s="23"/>
      <c r="P67" s="71"/>
      <c r="Q67" s="71"/>
      <c r="R67" s="22"/>
      <c r="S67" s="22"/>
      <c r="T67" s="22"/>
      <c r="U67" s="71"/>
      <c r="V67" s="71"/>
      <c r="W67" s="71"/>
      <c r="X67" s="71"/>
      <c r="Y67" s="71"/>
      <c r="Z67" s="71"/>
      <c r="AA67" s="71"/>
      <c r="AB67" s="71"/>
      <c r="AC67" s="71"/>
      <c r="AD67" s="71"/>
      <c r="AE67" s="71"/>
    </row>
    <row r="68" spans="1:31" x14ac:dyDescent="0.3">
      <c r="A68" s="22"/>
      <c r="B68" s="71"/>
      <c r="C68" s="22"/>
      <c r="D68" s="22"/>
      <c r="E68" s="23"/>
      <c r="F68" s="22"/>
      <c r="G68" s="22"/>
      <c r="H68" s="22"/>
      <c r="I68" s="22"/>
      <c r="J68" s="22"/>
      <c r="K68" s="23"/>
      <c r="L68" s="22"/>
      <c r="M68" s="22"/>
      <c r="N68" s="22"/>
      <c r="O68" s="23"/>
      <c r="P68" s="71"/>
      <c r="Q68" s="71"/>
      <c r="R68" s="22"/>
      <c r="S68" s="22"/>
      <c r="T68" s="22"/>
      <c r="U68" s="71"/>
      <c r="V68" s="71"/>
      <c r="W68" s="71"/>
      <c r="X68" s="71"/>
      <c r="Y68" s="71"/>
      <c r="Z68" s="71"/>
      <c r="AA68" s="71"/>
      <c r="AB68" s="71"/>
      <c r="AC68" s="71"/>
      <c r="AD68" s="71"/>
      <c r="AE68" s="71"/>
    </row>
    <row r="69" spans="1:31" x14ac:dyDescent="0.3">
      <c r="A69" s="22"/>
      <c r="B69" s="71"/>
      <c r="C69" s="22"/>
      <c r="D69" s="22"/>
      <c r="E69" s="23"/>
      <c r="F69" s="22"/>
      <c r="G69" s="22"/>
      <c r="H69" s="22"/>
      <c r="I69" s="22"/>
      <c r="J69" s="22"/>
      <c r="K69" s="23"/>
      <c r="L69" s="22"/>
      <c r="M69" s="22"/>
      <c r="N69" s="22"/>
      <c r="O69" s="23"/>
      <c r="P69" s="71"/>
      <c r="Q69" s="71"/>
      <c r="R69" s="22"/>
      <c r="S69" s="22"/>
      <c r="T69" s="22"/>
      <c r="U69" s="71"/>
      <c r="V69" s="71"/>
      <c r="W69" s="71"/>
      <c r="X69" s="71"/>
      <c r="Y69" s="71"/>
      <c r="Z69" s="71"/>
      <c r="AA69" s="71"/>
      <c r="AB69" s="71"/>
      <c r="AC69" s="71"/>
      <c r="AD69" s="71"/>
      <c r="AE69" s="71"/>
    </row>
    <row r="70" spans="1:31" x14ac:dyDescent="0.3">
      <c r="A70" s="22"/>
      <c r="B70" s="71"/>
      <c r="C70" s="22"/>
      <c r="D70" s="22"/>
      <c r="E70" s="23"/>
      <c r="F70" s="22"/>
      <c r="G70" s="22"/>
      <c r="H70" s="22"/>
      <c r="I70" s="22"/>
      <c r="J70" s="22"/>
      <c r="K70" s="23"/>
      <c r="L70" s="22"/>
      <c r="M70" s="22"/>
      <c r="N70" s="22"/>
      <c r="O70" s="23"/>
      <c r="P70" s="71"/>
      <c r="Q70" s="71"/>
      <c r="R70" s="22"/>
      <c r="S70" s="22"/>
      <c r="T70" s="22"/>
      <c r="U70" s="71"/>
      <c r="V70" s="71"/>
      <c r="W70" s="71"/>
      <c r="X70" s="71"/>
      <c r="Y70" s="71"/>
      <c r="Z70" s="71"/>
      <c r="AA70" s="71"/>
      <c r="AB70" s="71"/>
      <c r="AC70" s="71"/>
      <c r="AD70" s="71"/>
      <c r="AE70" s="71"/>
    </row>
    <row r="71" spans="1:31" x14ac:dyDescent="0.3">
      <c r="A71" s="22"/>
      <c r="B71" s="71"/>
      <c r="C71" s="22"/>
      <c r="D71" s="22"/>
      <c r="E71" s="23"/>
      <c r="F71" s="22"/>
      <c r="G71" s="22"/>
      <c r="H71" s="22"/>
      <c r="I71" s="22"/>
      <c r="J71" s="22"/>
      <c r="K71" s="23"/>
      <c r="L71" s="22"/>
      <c r="M71" s="22"/>
      <c r="N71" s="22"/>
      <c r="O71" s="23"/>
      <c r="P71" s="71"/>
      <c r="Q71" s="71"/>
      <c r="R71" s="22"/>
      <c r="S71" s="22"/>
      <c r="T71" s="22"/>
      <c r="U71" s="71"/>
      <c r="V71" s="71"/>
      <c r="W71" s="71"/>
      <c r="X71" s="71"/>
      <c r="Y71" s="71"/>
      <c r="Z71" s="71"/>
      <c r="AA71" s="71"/>
      <c r="AB71" s="71"/>
      <c r="AC71" s="71"/>
      <c r="AD71" s="71"/>
      <c r="AE71" s="71"/>
    </row>
    <row r="72" spans="1:31" x14ac:dyDescent="0.3">
      <c r="A72" s="22"/>
      <c r="B72" s="71"/>
      <c r="C72" s="22"/>
      <c r="D72" s="22"/>
      <c r="E72" s="23"/>
      <c r="F72" s="22"/>
      <c r="G72" s="22"/>
      <c r="H72" s="22"/>
      <c r="I72" s="22"/>
      <c r="J72" s="22"/>
      <c r="K72" s="23"/>
      <c r="L72" s="22"/>
      <c r="M72" s="22"/>
      <c r="N72" s="22"/>
      <c r="O72" s="23"/>
      <c r="P72" s="71"/>
      <c r="Q72" s="71"/>
      <c r="R72" s="22"/>
      <c r="S72" s="22"/>
      <c r="T72" s="22"/>
      <c r="U72" s="71"/>
      <c r="V72" s="71"/>
      <c r="W72" s="71"/>
      <c r="X72" s="71"/>
      <c r="Y72" s="71"/>
      <c r="Z72" s="71"/>
      <c r="AA72" s="71"/>
      <c r="AB72" s="71"/>
      <c r="AC72" s="71"/>
      <c r="AD72" s="71"/>
      <c r="AE72" s="71"/>
    </row>
    <row r="73" spans="1:31" x14ac:dyDescent="0.3">
      <c r="A73" s="22"/>
      <c r="B73" s="71"/>
      <c r="C73" s="22"/>
      <c r="D73" s="22"/>
      <c r="E73" s="23"/>
      <c r="F73" s="22"/>
      <c r="G73" s="22"/>
      <c r="H73" s="22"/>
      <c r="I73" s="22"/>
      <c r="J73" s="22"/>
      <c r="K73" s="23"/>
      <c r="L73" s="22"/>
      <c r="M73" s="22"/>
      <c r="N73" s="22"/>
      <c r="O73" s="23"/>
      <c r="P73" s="71"/>
      <c r="Q73" s="71"/>
      <c r="R73" s="22"/>
      <c r="S73" s="22"/>
      <c r="T73" s="22"/>
      <c r="U73" s="71"/>
      <c r="V73" s="71"/>
      <c r="W73" s="71"/>
      <c r="X73" s="71"/>
      <c r="Y73" s="71"/>
      <c r="Z73" s="71"/>
      <c r="AA73" s="71"/>
      <c r="AB73" s="71"/>
      <c r="AC73" s="71"/>
      <c r="AD73" s="71"/>
      <c r="AE73" s="71"/>
    </row>
    <row r="74" spans="1:31" x14ac:dyDescent="0.3">
      <c r="A74" s="22"/>
      <c r="B74" s="71"/>
      <c r="C74" s="22"/>
      <c r="D74" s="22"/>
      <c r="E74" s="23"/>
      <c r="F74" s="22"/>
      <c r="G74" s="22"/>
      <c r="H74" s="22"/>
      <c r="I74" s="22"/>
      <c r="J74" s="22"/>
      <c r="K74" s="23"/>
      <c r="L74" s="22"/>
      <c r="M74" s="22"/>
      <c r="N74" s="22"/>
      <c r="O74" s="23"/>
      <c r="P74" s="71"/>
      <c r="Q74" s="71"/>
      <c r="R74" s="22"/>
      <c r="S74" s="22"/>
      <c r="T74" s="22"/>
      <c r="U74" s="71"/>
      <c r="V74" s="71"/>
      <c r="W74" s="71"/>
      <c r="X74" s="71"/>
      <c r="Y74" s="71"/>
      <c r="Z74" s="71"/>
      <c r="AA74" s="71"/>
      <c r="AB74" s="71"/>
      <c r="AC74" s="71"/>
      <c r="AD74" s="71"/>
      <c r="AE74" s="71"/>
    </row>
    <row r="75" spans="1:31" x14ac:dyDescent="0.3">
      <c r="A75" s="22"/>
      <c r="B75" s="71"/>
      <c r="C75" s="22"/>
      <c r="D75" s="22"/>
      <c r="E75" s="23"/>
      <c r="F75" s="22"/>
      <c r="G75" s="22"/>
      <c r="H75" s="22"/>
      <c r="I75" s="22"/>
      <c r="J75" s="22"/>
      <c r="K75" s="23"/>
      <c r="L75" s="22"/>
      <c r="M75" s="22"/>
      <c r="N75" s="22"/>
      <c r="O75" s="23"/>
      <c r="P75" s="71"/>
      <c r="Q75" s="71"/>
      <c r="R75" s="22"/>
      <c r="S75" s="22"/>
      <c r="T75" s="22"/>
      <c r="U75" s="71"/>
      <c r="V75" s="71"/>
      <c r="W75" s="71"/>
      <c r="X75" s="71"/>
      <c r="Y75" s="71"/>
      <c r="Z75" s="71"/>
      <c r="AA75" s="71"/>
      <c r="AB75" s="71"/>
      <c r="AC75" s="71"/>
      <c r="AD75" s="71"/>
      <c r="AE75" s="71"/>
    </row>
    <row r="76" spans="1:31" x14ac:dyDescent="0.3">
      <c r="A76" s="22"/>
      <c r="B76" s="71"/>
      <c r="C76" s="22"/>
      <c r="D76" s="22"/>
      <c r="E76" s="23"/>
      <c r="F76" s="22"/>
      <c r="G76" s="22"/>
      <c r="H76" s="22"/>
      <c r="I76" s="22"/>
      <c r="J76" s="22"/>
      <c r="K76" s="23"/>
      <c r="L76" s="22"/>
      <c r="M76" s="22"/>
      <c r="N76" s="22"/>
      <c r="O76" s="23"/>
      <c r="P76" s="71"/>
      <c r="Q76" s="71"/>
      <c r="R76" s="22"/>
      <c r="S76" s="22"/>
      <c r="T76" s="22"/>
      <c r="U76" s="71"/>
      <c r="V76" s="71"/>
      <c r="W76" s="71"/>
      <c r="X76" s="71"/>
      <c r="Y76" s="71"/>
      <c r="Z76" s="71"/>
      <c r="AA76" s="71"/>
      <c r="AB76" s="71"/>
      <c r="AC76" s="71"/>
      <c r="AD76" s="71"/>
      <c r="AE76" s="71"/>
    </row>
    <row r="77" spans="1:31" x14ac:dyDescent="0.3">
      <c r="A77" s="22"/>
      <c r="B77" s="71"/>
      <c r="C77" s="22"/>
      <c r="D77" s="22"/>
      <c r="E77" s="23"/>
      <c r="F77" s="22"/>
      <c r="G77" s="22"/>
      <c r="H77" s="22"/>
      <c r="I77" s="22"/>
      <c r="J77" s="22"/>
      <c r="K77" s="23"/>
      <c r="L77" s="22"/>
      <c r="M77" s="22"/>
      <c r="N77" s="22"/>
      <c r="O77" s="23"/>
      <c r="P77" s="71"/>
      <c r="Q77" s="71"/>
      <c r="R77" s="22"/>
      <c r="S77" s="22"/>
      <c r="T77" s="22"/>
      <c r="U77" s="71"/>
      <c r="V77" s="71"/>
      <c r="W77" s="71"/>
      <c r="X77" s="71"/>
      <c r="Y77" s="71"/>
      <c r="Z77" s="71"/>
      <c r="AA77" s="71"/>
      <c r="AB77" s="71"/>
      <c r="AC77" s="71"/>
      <c r="AD77" s="71"/>
      <c r="AE77" s="71"/>
    </row>
    <row r="78" spans="1:31" x14ac:dyDescent="0.3">
      <c r="A78" s="22"/>
      <c r="B78" s="71"/>
      <c r="C78" s="22"/>
      <c r="D78" s="22"/>
      <c r="E78" s="23"/>
      <c r="F78" s="22"/>
      <c r="G78" s="22"/>
      <c r="H78" s="22"/>
      <c r="I78" s="22"/>
      <c r="J78" s="22"/>
      <c r="K78" s="23"/>
      <c r="L78" s="22"/>
      <c r="M78" s="22"/>
      <c r="N78" s="22"/>
      <c r="O78" s="23"/>
      <c r="P78" s="71"/>
      <c r="Q78" s="71"/>
      <c r="R78" s="22"/>
      <c r="S78" s="22"/>
      <c r="T78" s="22"/>
      <c r="U78" s="71"/>
      <c r="V78" s="71"/>
      <c r="W78" s="71"/>
      <c r="X78" s="71"/>
      <c r="Y78" s="71"/>
      <c r="Z78" s="71"/>
      <c r="AA78" s="71"/>
      <c r="AB78" s="71"/>
      <c r="AC78" s="71"/>
      <c r="AD78" s="71"/>
      <c r="AE78" s="71"/>
    </row>
    <row r="79" spans="1:31" x14ac:dyDescent="0.3">
      <c r="A79" s="22"/>
      <c r="B79" s="71"/>
      <c r="C79" s="22"/>
      <c r="D79" s="22"/>
      <c r="E79" s="23"/>
      <c r="F79" s="22"/>
      <c r="G79" s="22"/>
      <c r="H79" s="22"/>
      <c r="I79" s="22"/>
      <c r="J79" s="22"/>
      <c r="K79" s="23"/>
      <c r="L79" s="22"/>
      <c r="M79" s="22"/>
      <c r="N79" s="22"/>
      <c r="O79" s="23"/>
      <c r="P79" s="71"/>
      <c r="Q79" s="71"/>
      <c r="R79" s="22"/>
      <c r="S79" s="22"/>
      <c r="T79" s="22"/>
      <c r="U79" s="71"/>
      <c r="V79" s="71"/>
      <c r="W79" s="71"/>
      <c r="X79" s="71"/>
      <c r="Y79" s="71"/>
      <c r="Z79" s="71"/>
      <c r="AA79" s="71"/>
      <c r="AB79" s="71"/>
      <c r="AC79" s="71"/>
      <c r="AD79" s="71"/>
      <c r="AE79" s="71"/>
    </row>
    <row r="80" spans="1:31" x14ac:dyDescent="0.3">
      <c r="A80" s="22"/>
      <c r="B80" s="71"/>
      <c r="C80" s="22"/>
      <c r="D80" s="22"/>
      <c r="E80" s="23"/>
      <c r="F80" s="22"/>
      <c r="G80" s="22"/>
      <c r="H80" s="22"/>
      <c r="I80" s="22"/>
      <c r="J80" s="22"/>
      <c r="K80" s="23"/>
      <c r="L80" s="22"/>
      <c r="M80" s="22"/>
      <c r="N80" s="22"/>
      <c r="O80" s="23"/>
      <c r="P80" s="71"/>
      <c r="Q80" s="71"/>
      <c r="R80" s="22"/>
      <c r="S80" s="22"/>
      <c r="T80" s="22"/>
      <c r="U80" s="71"/>
      <c r="V80" s="71"/>
      <c r="W80" s="71"/>
      <c r="X80" s="71"/>
      <c r="Y80" s="71"/>
      <c r="Z80" s="71"/>
      <c r="AA80" s="71"/>
      <c r="AB80" s="71"/>
      <c r="AC80" s="71"/>
      <c r="AD80" s="71"/>
      <c r="AE80" s="71"/>
    </row>
    <row r="81" spans="1:31" x14ac:dyDescent="0.3">
      <c r="A81" s="22"/>
      <c r="B81" s="71"/>
      <c r="C81" s="22"/>
      <c r="D81" s="22"/>
      <c r="E81" s="23"/>
      <c r="F81" s="22"/>
      <c r="G81" s="22"/>
      <c r="H81" s="22"/>
      <c r="I81" s="22"/>
      <c r="J81" s="22"/>
      <c r="K81" s="23"/>
      <c r="L81" s="22"/>
      <c r="M81" s="22"/>
      <c r="N81" s="22"/>
      <c r="O81" s="23"/>
      <c r="P81" s="71"/>
      <c r="Q81" s="71"/>
      <c r="R81" s="22"/>
      <c r="S81" s="22"/>
      <c r="T81" s="22"/>
      <c r="U81" s="71"/>
      <c r="V81" s="71"/>
      <c r="W81" s="71"/>
      <c r="X81" s="71"/>
      <c r="Y81" s="71"/>
      <c r="Z81" s="71"/>
      <c r="AA81" s="71"/>
      <c r="AB81" s="71"/>
      <c r="AC81" s="71"/>
      <c r="AD81" s="71"/>
      <c r="AE81" s="71"/>
    </row>
    <row r="82" spans="1:31" x14ac:dyDescent="0.3">
      <c r="A82" s="22"/>
      <c r="B82" s="71"/>
      <c r="C82" s="22"/>
      <c r="D82" s="22"/>
      <c r="E82" s="23"/>
      <c r="F82" s="22"/>
      <c r="G82" s="22"/>
      <c r="H82" s="22"/>
      <c r="I82" s="22"/>
      <c r="J82" s="22"/>
      <c r="K82" s="23"/>
      <c r="L82" s="22"/>
      <c r="M82" s="22"/>
      <c r="N82" s="22"/>
      <c r="O82" s="23"/>
      <c r="P82" s="71"/>
      <c r="Q82" s="71"/>
      <c r="R82" s="22"/>
      <c r="S82" s="22"/>
      <c r="T82" s="22"/>
      <c r="U82" s="71"/>
      <c r="V82" s="71"/>
      <c r="W82" s="71"/>
      <c r="X82" s="71"/>
      <c r="Y82" s="71"/>
      <c r="Z82" s="71"/>
      <c r="AA82" s="71"/>
      <c r="AB82" s="71"/>
      <c r="AC82" s="71"/>
      <c r="AD82" s="71"/>
      <c r="AE82" s="71"/>
    </row>
    <row r="83" spans="1:31" x14ac:dyDescent="0.3">
      <c r="A83" s="22"/>
      <c r="B83" s="71"/>
      <c r="C83" s="22"/>
      <c r="D83" s="22"/>
      <c r="E83" s="23"/>
      <c r="F83" s="22"/>
      <c r="G83" s="22"/>
      <c r="H83" s="22"/>
      <c r="I83" s="22"/>
      <c r="J83" s="22"/>
      <c r="K83" s="23"/>
      <c r="L83" s="22"/>
      <c r="M83" s="22"/>
      <c r="N83" s="22"/>
      <c r="O83" s="23"/>
      <c r="P83" s="71"/>
      <c r="Q83" s="71"/>
      <c r="R83" s="22"/>
      <c r="S83" s="22"/>
      <c r="T83" s="22"/>
      <c r="U83" s="71"/>
      <c r="V83" s="71"/>
      <c r="W83" s="71"/>
      <c r="X83" s="71"/>
      <c r="Y83" s="71"/>
      <c r="Z83" s="71"/>
      <c r="AA83" s="71"/>
      <c r="AB83" s="71"/>
      <c r="AC83" s="71"/>
      <c r="AD83" s="71"/>
      <c r="AE83" s="71"/>
    </row>
    <row r="84" spans="1:31" x14ac:dyDescent="0.3">
      <c r="A84" s="22"/>
      <c r="B84" s="71"/>
      <c r="C84" s="22"/>
      <c r="D84" s="22"/>
      <c r="E84" s="23"/>
      <c r="F84" s="22"/>
      <c r="G84" s="22"/>
      <c r="H84" s="22"/>
      <c r="I84" s="22"/>
      <c r="J84" s="22"/>
      <c r="K84" s="23"/>
      <c r="L84" s="22"/>
      <c r="M84" s="22"/>
      <c r="N84" s="22"/>
      <c r="O84" s="23"/>
      <c r="P84" s="71"/>
      <c r="Q84" s="71"/>
      <c r="R84" s="22"/>
      <c r="S84" s="22"/>
      <c r="T84" s="22"/>
      <c r="U84" s="71"/>
      <c r="V84" s="71"/>
      <c r="W84" s="71"/>
      <c r="X84" s="71"/>
      <c r="Y84" s="71"/>
      <c r="Z84" s="71"/>
      <c r="AA84" s="71"/>
      <c r="AB84" s="71"/>
      <c r="AC84" s="71"/>
      <c r="AD84" s="71"/>
      <c r="AE84" s="71"/>
    </row>
    <row r="85" spans="1:31" x14ac:dyDescent="0.3">
      <c r="A85" s="22"/>
      <c r="B85" s="71"/>
      <c r="C85" s="22"/>
      <c r="D85" s="22"/>
      <c r="E85" s="23"/>
      <c r="F85" s="22"/>
      <c r="G85" s="22"/>
      <c r="H85" s="22"/>
      <c r="I85" s="22"/>
      <c r="J85" s="22"/>
      <c r="K85" s="23"/>
      <c r="L85" s="22"/>
      <c r="M85" s="22"/>
      <c r="N85" s="22"/>
      <c r="O85" s="23"/>
      <c r="P85" s="71"/>
      <c r="Q85" s="71"/>
      <c r="R85" s="22"/>
      <c r="S85" s="22"/>
      <c r="T85" s="22"/>
      <c r="U85" s="71"/>
      <c r="V85" s="71"/>
      <c r="W85" s="71"/>
      <c r="X85" s="71"/>
      <c r="Y85" s="71"/>
      <c r="Z85" s="71"/>
      <c r="AA85" s="71"/>
      <c r="AB85" s="71"/>
      <c r="AC85" s="71"/>
      <c r="AD85" s="71"/>
      <c r="AE85" s="71"/>
    </row>
    <row r="86" spans="1:31" x14ac:dyDescent="0.3">
      <c r="A86" s="22"/>
      <c r="B86" s="71"/>
      <c r="C86" s="22"/>
      <c r="D86" s="22"/>
      <c r="E86" s="23"/>
      <c r="F86" s="22"/>
      <c r="G86" s="22"/>
      <c r="H86" s="22"/>
      <c r="I86" s="22"/>
      <c r="J86" s="22"/>
      <c r="K86" s="23"/>
      <c r="L86" s="22"/>
      <c r="M86" s="22"/>
      <c r="N86" s="22"/>
      <c r="O86" s="23"/>
      <c r="P86" s="71"/>
      <c r="Q86" s="71"/>
      <c r="R86" s="22"/>
      <c r="S86" s="22"/>
      <c r="T86" s="22"/>
      <c r="U86" s="71"/>
      <c r="V86" s="71"/>
      <c r="W86" s="71"/>
      <c r="X86" s="71"/>
      <c r="Y86" s="71"/>
      <c r="Z86" s="71"/>
      <c r="AA86" s="71"/>
      <c r="AB86" s="71"/>
      <c r="AC86" s="71"/>
      <c r="AD86" s="71"/>
      <c r="AE86" s="71"/>
    </row>
    <row r="87" spans="1:31" x14ac:dyDescent="0.3">
      <c r="A87" s="22"/>
      <c r="B87" s="71"/>
      <c r="C87" s="22"/>
      <c r="D87" s="22"/>
      <c r="E87" s="23"/>
      <c r="F87" s="22"/>
      <c r="G87" s="22"/>
      <c r="H87" s="22"/>
      <c r="I87" s="22"/>
      <c r="J87" s="22"/>
      <c r="K87" s="23"/>
      <c r="L87" s="22"/>
      <c r="M87" s="22"/>
      <c r="N87" s="22"/>
      <c r="O87" s="23"/>
      <c r="P87" s="71"/>
      <c r="Q87" s="71"/>
      <c r="R87" s="22"/>
      <c r="S87" s="22"/>
      <c r="T87" s="22"/>
      <c r="U87" s="71"/>
      <c r="V87" s="71"/>
      <c r="W87" s="71"/>
      <c r="X87" s="71"/>
      <c r="Y87" s="71"/>
      <c r="Z87" s="71"/>
      <c r="AA87" s="71"/>
      <c r="AB87" s="71"/>
      <c r="AC87" s="71"/>
      <c r="AD87" s="71"/>
      <c r="AE87" s="71"/>
    </row>
    <row r="88" spans="1:31" x14ac:dyDescent="0.3">
      <c r="A88" s="22"/>
      <c r="B88" s="71"/>
      <c r="C88" s="22"/>
      <c r="D88" s="22"/>
      <c r="E88" s="23"/>
      <c r="F88" s="22"/>
      <c r="G88" s="22"/>
      <c r="H88" s="22"/>
      <c r="I88" s="22"/>
      <c r="J88" s="22"/>
      <c r="K88" s="23"/>
      <c r="L88" s="22"/>
      <c r="M88" s="22"/>
      <c r="N88" s="22"/>
      <c r="O88" s="23"/>
      <c r="P88" s="71"/>
      <c r="Q88" s="71"/>
      <c r="R88" s="22"/>
      <c r="S88" s="22"/>
      <c r="T88" s="22"/>
      <c r="U88" s="71"/>
      <c r="V88" s="71"/>
      <c r="W88" s="71"/>
      <c r="X88" s="71"/>
      <c r="Y88" s="71"/>
      <c r="Z88" s="71"/>
      <c r="AA88" s="71"/>
      <c r="AB88" s="71"/>
      <c r="AC88" s="71"/>
      <c r="AD88" s="71"/>
      <c r="AE88" s="71"/>
    </row>
    <row r="89" spans="1:31" x14ac:dyDescent="0.3">
      <c r="A89" s="22"/>
      <c r="B89" s="71"/>
      <c r="C89" s="22"/>
      <c r="D89" s="22"/>
      <c r="E89" s="23"/>
      <c r="F89" s="22"/>
      <c r="G89" s="22"/>
      <c r="H89" s="22"/>
      <c r="I89" s="22"/>
      <c r="J89" s="22"/>
      <c r="K89" s="23"/>
      <c r="L89" s="22"/>
      <c r="M89" s="22"/>
      <c r="N89" s="22"/>
      <c r="O89" s="23"/>
      <c r="P89" s="71"/>
      <c r="Q89" s="71"/>
      <c r="R89" s="22"/>
      <c r="S89" s="22"/>
      <c r="T89" s="22"/>
      <c r="U89" s="71"/>
      <c r="V89" s="71"/>
      <c r="W89" s="71"/>
      <c r="X89" s="71"/>
      <c r="Y89" s="71"/>
      <c r="Z89" s="71"/>
      <c r="AA89" s="71"/>
      <c r="AB89" s="71"/>
      <c r="AC89" s="71"/>
      <c r="AD89" s="71"/>
      <c r="AE89" s="71"/>
    </row>
    <row r="90" spans="1:31" x14ac:dyDescent="0.3">
      <c r="A90" s="22"/>
      <c r="B90" s="71"/>
      <c r="C90" s="22"/>
      <c r="D90" s="22"/>
      <c r="E90" s="23"/>
      <c r="F90" s="22"/>
      <c r="G90" s="22"/>
      <c r="H90" s="22"/>
      <c r="I90" s="22"/>
      <c r="J90" s="22"/>
      <c r="K90" s="23"/>
      <c r="L90" s="22"/>
      <c r="M90" s="22"/>
      <c r="N90" s="22"/>
      <c r="O90" s="23"/>
      <c r="P90" s="71"/>
      <c r="Q90" s="71"/>
      <c r="R90" s="22"/>
      <c r="S90" s="22"/>
      <c r="T90" s="22"/>
      <c r="U90" s="71"/>
      <c r="V90" s="71"/>
      <c r="W90" s="71"/>
      <c r="X90" s="71"/>
      <c r="Y90" s="71"/>
      <c r="Z90" s="71"/>
      <c r="AA90" s="71"/>
      <c r="AB90" s="71"/>
      <c r="AC90" s="71"/>
      <c r="AD90" s="71"/>
      <c r="AE90" s="71"/>
    </row>
    <row r="91" spans="1:31" x14ac:dyDescent="0.3">
      <c r="A91" s="22"/>
      <c r="B91" s="71"/>
      <c r="C91" s="22"/>
      <c r="D91" s="22"/>
      <c r="E91" s="23"/>
      <c r="F91" s="22"/>
      <c r="G91" s="22"/>
      <c r="H91" s="22"/>
      <c r="I91" s="22"/>
      <c r="J91" s="22"/>
      <c r="K91" s="23"/>
      <c r="L91" s="22"/>
      <c r="M91" s="22"/>
      <c r="N91" s="22"/>
      <c r="O91" s="23"/>
      <c r="P91" s="71"/>
      <c r="Q91" s="71"/>
      <c r="R91" s="22"/>
      <c r="S91" s="22"/>
      <c r="T91" s="22"/>
      <c r="U91" s="71"/>
      <c r="V91" s="71"/>
      <c r="W91" s="71"/>
      <c r="X91" s="71"/>
      <c r="Y91" s="71"/>
      <c r="Z91" s="71"/>
      <c r="AA91" s="71"/>
      <c r="AB91" s="71"/>
      <c r="AC91" s="71"/>
      <c r="AD91" s="71"/>
      <c r="AE91" s="71"/>
    </row>
    <row r="92" spans="1:31" x14ac:dyDescent="0.3">
      <c r="A92" s="22"/>
      <c r="B92" s="71"/>
      <c r="C92" s="22"/>
      <c r="D92" s="22"/>
      <c r="E92" s="23"/>
      <c r="F92" s="22"/>
      <c r="G92" s="22"/>
      <c r="H92" s="22"/>
      <c r="I92" s="22"/>
      <c r="J92" s="22"/>
      <c r="K92" s="23"/>
      <c r="L92" s="22"/>
      <c r="M92" s="22"/>
      <c r="N92" s="22"/>
      <c r="O92" s="23"/>
      <c r="P92" s="71"/>
      <c r="Q92" s="71"/>
      <c r="R92" s="22"/>
      <c r="S92" s="22"/>
      <c r="T92" s="22"/>
      <c r="U92" s="71"/>
      <c r="V92" s="71"/>
      <c r="W92" s="71"/>
      <c r="X92" s="71"/>
      <c r="Y92" s="71"/>
      <c r="Z92" s="71"/>
      <c r="AA92" s="71"/>
      <c r="AB92" s="71"/>
      <c r="AC92" s="71"/>
      <c r="AD92" s="71"/>
      <c r="AE92" s="71"/>
    </row>
    <row r="93" spans="1:31" x14ac:dyDescent="0.3">
      <c r="A93" s="22"/>
      <c r="B93" s="71"/>
      <c r="C93" s="22"/>
      <c r="D93" s="22"/>
      <c r="E93" s="23"/>
      <c r="F93" s="22"/>
      <c r="G93" s="22"/>
      <c r="H93" s="22"/>
      <c r="I93" s="22"/>
      <c r="J93" s="22"/>
      <c r="K93" s="23"/>
      <c r="L93" s="22"/>
      <c r="M93" s="22"/>
      <c r="N93" s="22"/>
      <c r="O93" s="23"/>
      <c r="P93" s="71"/>
      <c r="Q93" s="71"/>
      <c r="R93" s="22"/>
      <c r="S93" s="22"/>
      <c r="T93" s="22"/>
      <c r="U93" s="71"/>
      <c r="V93" s="71"/>
      <c r="W93" s="71"/>
      <c r="X93" s="71"/>
      <c r="Y93" s="71"/>
      <c r="Z93" s="71"/>
      <c r="AA93" s="71"/>
      <c r="AB93" s="71"/>
      <c r="AC93" s="71"/>
      <c r="AD93" s="71"/>
      <c r="AE93" s="71"/>
    </row>
    <row r="94" spans="1:31" x14ac:dyDescent="0.3">
      <c r="A94" s="22"/>
      <c r="B94" s="71"/>
      <c r="C94" s="22"/>
      <c r="D94" s="22"/>
      <c r="E94" s="23"/>
      <c r="F94" s="22"/>
      <c r="G94" s="22"/>
      <c r="H94" s="22"/>
      <c r="I94" s="22"/>
      <c r="J94" s="22"/>
      <c r="K94" s="23"/>
      <c r="L94" s="22"/>
      <c r="M94" s="22"/>
      <c r="N94" s="22"/>
      <c r="O94" s="23"/>
      <c r="P94" s="71"/>
      <c r="Q94" s="71"/>
      <c r="R94" s="22"/>
      <c r="S94" s="22"/>
      <c r="T94" s="22"/>
      <c r="U94" s="71"/>
      <c r="V94" s="71"/>
      <c r="W94" s="71"/>
      <c r="X94" s="71"/>
      <c r="Y94" s="71"/>
      <c r="Z94" s="71"/>
      <c r="AA94" s="71"/>
      <c r="AB94" s="71"/>
      <c r="AC94" s="71"/>
      <c r="AD94" s="71"/>
      <c r="AE94" s="71"/>
    </row>
    <row r="95" spans="1:31" x14ac:dyDescent="0.3">
      <c r="A95" s="22"/>
      <c r="B95" s="71"/>
      <c r="C95" s="22"/>
      <c r="D95" s="22"/>
      <c r="E95" s="23"/>
      <c r="F95" s="22"/>
      <c r="G95" s="22"/>
      <c r="H95" s="22"/>
      <c r="I95" s="22"/>
      <c r="J95" s="22"/>
      <c r="K95" s="23"/>
      <c r="L95" s="22"/>
      <c r="M95" s="22"/>
      <c r="N95" s="22"/>
      <c r="O95" s="23"/>
      <c r="P95" s="71"/>
      <c r="Q95" s="71"/>
      <c r="R95" s="22"/>
      <c r="S95" s="22"/>
      <c r="T95" s="22"/>
      <c r="U95" s="71"/>
      <c r="V95" s="71"/>
      <c r="W95" s="71"/>
      <c r="X95" s="71"/>
      <c r="Y95" s="71"/>
      <c r="Z95" s="71"/>
      <c r="AA95" s="71"/>
      <c r="AB95" s="71"/>
      <c r="AC95" s="71"/>
      <c r="AD95" s="71"/>
      <c r="AE95" s="71"/>
    </row>
    <row r="96" spans="1:31" x14ac:dyDescent="0.3">
      <c r="A96" s="22"/>
      <c r="B96" s="71"/>
      <c r="C96" s="22"/>
      <c r="D96" s="22"/>
      <c r="E96" s="23"/>
      <c r="F96" s="22"/>
      <c r="G96" s="22"/>
      <c r="H96" s="22"/>
      <c r="I96" s="22"/>
      <c r="J96" s="22"/>
      <c r="K96" s="23"/>
      <c r="L96" s="22"/>
      <c r="M96" s="22"/>
      <c r="N96" s="22"/>
      <c r="O96" s="23"/>
      <c r="P96" s="71"/>
      <c r="Q96" s="71"/>
      <c r="R96" s="22"/>
      <c r="S96" s="22"/>
      <c r="T96" s="22"/>
      <c r="U96" s="71"/>
      <c r="V96" s="71"/>
      <c r="W96" s="71"/>
      <c r="X96" s="71"/>
      <c r="Y96" s="71"/>
      <c r="Z96" s="71"/>
      <c r="AA96" s="71"/>
      <c r="AB96" s="71"/>
      <c r="AC96" s="71"/>
      <c r="AD96" s="71"/>
      <c r="AE96" s="71"/>
    </row>
    <row r="97" spans="1:31" x14ac:dyDescent="0.3">
      <c r="A97" s="22"/>
      <c r="B97" s="71"/>
      <c r="C97" s="22"/>
      <c r="D97" s="22"/>
      <c r="E97" s="23"/>
      <c r="F97" s="22"/>
      <c r="G97" s="22"/>
      <c r="H97" s="22"/>
      <c r="I97" s="22"/>
      <c r="J97" s="22"/>
      <c r="K97" s="23"/>
      <c r="L97" s="22"/>
      <c r="M97" s="22"/>
      <c r="N97" s="22"/>
      <c r="O97" s="23"/>
      <c r="P97" s="71"/>
      <c r="Q97" s="71"/>
      <c r="R97" s="22"/>
      <c r="S97" s="22"/>
      <c r="T97" s="22"/>
      <c r="U97" s="71"/>
      <c r="V97" s="71"/>
      <c r="W97" s="71"/>
      <c r="X97" s="71"/>
      <c r="Y97" s="71"/>
      <c r="Z97" s="71"/>
      <c r="AA97" s="71"/>
      <c r="AB97" s="71"/>
      <c r="AC97" s="71"/>
      <c r="AD97" s="71"/>
      <c r="AE97" s="71"/>
    </row>
    <row r="98" spans="1:31" x14ac:dyDescent="0.3">
      <c r="A98" s="22"/>
      <c r="B98" s="71"/>
      <c r="C98" s="22"/>
      <c r="D98" s="22"/>
      <c r="E98" s="23"/>
      <c r="F98" s="22"/>
      <c r="G98" s="22"/>
      <c r="H98" s="22"/>
      <c r="I98" s="22"/>
      <c r="J98" s="22"/>
      <c r="K98" s="23"/>
      <c r="L98" s="22"/>
      <c r="M98" s="22"/>
      <c r="N98" s="22"/>
      <c r="O98" s="23"/>
      <c r="P98" s="71"/>
      <c r="Q98" s="71"/>
      <c r="R98" s="22"/>
      <c r="S98" s="22"/>
      <c r="T98" s="22"/>
      <c r="U98" s="71"/>
      <c r="V98" s="71"/>
      <c r="W98" s="71"/>
      <c r="X98" s="71"/>
      <c r="Y98" s="71"/>
      <c r="Z98" s="71"/>
      <c r="AA98" s="71"/>
      <c r="AB98" s="71"/>
      <c r="AC98" s="71"/>
      <c r="AD98" s="71"/>
      <c r="AE98" s="71"/>
    </row>
    <row r="99" spans="1:31" x14ac:dyDescent="0.3">
      <c r="A99" s="22"/>
      <c r="B99" s="71"/>
      <c r="C99" s="22"/>
      <c r="D99" s="22"/>
      <c r="E99" s="23"/>
      <c r="F99" s="22"/>
      <c r="G99" s="22"/>
      <c r="H99" s="22"/>
      <c r="I99" s="22"/>
      <c r="J99" s="22"/>
      <c r="K99" s="23"/>
      <c r="L99" s="22"/>
      <c r="M99" s="22"/>
      <c r="N99" s="22"/>
      <c r="O99" s="23"/>
      <c r="P99" s="71"/>
      <c r="Q99" s="71"/>
      <c r="R99" s="22"/>
      <c r="S99" s="22"/>
      <c r="T99" s="22"/>
      <c r="U99" s="71"/>
      <c r="V99" s="71"/>
      <c r="W99" s="71"/>
      <c r="X99" s="71"/>
      <c r="Y99" s="71"/>
      <c r="Z99" s="71"/>
      <c r="AA99" s="71"/>
      <c r="AB99" s="71"/>
      <c r="AC99" s="71"/>
      <c r="AD99" s="71"/>
      <c r="AE99" s="71"/>
    </row>
    <row r="100" spans="1:31" x14ac:dyDescent="0.3">
      <c r="A100" s="22"/>
      <c r="B100" s="71"/>
      <c r="C100" s="22"/>
      <c r="D100" s="22"/>
      <c r="E100" s="23"/>
      <c r="F100" s="22"/>
      <c r="G100" s="22"/>
      <c r="H100" s="22"/>
      <c r="I100" s="22"/>
      <c r="J100" s="22"/>
      <c r="K100" s="23"/>
      <c r="L100" s="22"/>
      <c r="M100" s="22"/>
      <c r="N100" s="22"/>
      <c r="O100" s="23"/>
      <c r="P100" s="71"/>
      <c r="Q100" s="71"/>
      <c r="R100" s="22"/>
      <c r="S100" s="22"/>
      <c r="T100" s="22"/>
      <c r="U100" s="71"/>
      <c r="V100" s="71"/>
      <c r="W100" s="71"/>
      <c r="X100" s="71"/>
      <c r="Y100" s="71"/>
      <c r="Z100" s="71"/>
      <c r="AA100" s="71"/>
      <c r="AB100" s="71"/>
      <c r="AC100" s="71"/>
      <c r="AD100" s="71"/>
      <c r="AE100" s="71"/>
    </row>
    <row r="101" spans="1:31" x14ac:dyDescent="0.3">
      <c r="A101" s="22"/>
      <c r="B101" s="71"/>
      <c r="C101" s="22"/>
      <c r="D101" s="22"/>
      <c r="E101" s="23"/>
      <c r="F101" s="22"/>
      <c r="G101" s="22"/>
      <c r="H101" s="22"/>
      <c r="I101" s="22"/>
      <c r="J101" s="22"/>
      <c r="K101" s="23"/>
      <c r="L101" s="22"/>
      <c r="M101" s="22"/>
      <c r="N101" s="22"/>
      <c r="O101" s="23"/>
      <c r="P101" s="71"/>
      <c r="Q101" s="71"/>
      <c r="R101" s="22"/>
      <c r="S101" s="22"/>
      <c r="T101" s="22"/>
      <c r="U101" s="71"/>
      <c r="V101" s="71"/>
      <c r="W101" s="71"/>
      <c r="X101" s="71"/>
      <c r="Y101" s="71"/>
      <c r="Z101" s="71"/>
      <c r="AA101" s="71"/>
      <c r="AB101" s="71"/>
      <c r="AC101" s="71"/>
      <c r="AD101" s="71"/>
      <c r="AE101" s="71"/>
    </row>
    <row r="102" spans="1:31" x14ac:dyDescent="0.3">
      <c r="A102" s="22"/>
      <c r="B102" s="71"/>
      <c r="C102" s="22"/>
      <c r="D102" s="22"/>
      <c r="E102" s="23"/>
      <c r="F102" s="22"/>
      <c r="G102" s="22"/>
      <c r="H102" s="22"/>
      <c r="I102" s="22"/>
      <c r="J102" s="22"/>
      <c r="K102" s="23"/>
      <c r="L102" s="22"/>
      <c r="M102" s="22"/>
      <c r="N102" s="22"/>
      <c r="O102" s="23"/>
      <c r="P102" s="71"/>
      <c r="Q102" s="71"/>
      <c r="R102" s="22"/>
      <c r="S102" s="22"/>
      <c r="T102" s="22"/>
      <c r="U102" s="71"/>
      <c r="V102" s="71"/>
      <c r="W102" s="71"/>
      <c r="X102" s="71"/>
      <c r="Y102" s="71"/>
      <c r="Z102" s="71"/>
      <c r="AA102" s="71"/>
      <c r="AB102" s="71"/>
      <c r="AC102" s="71"/>
      <c r="AD102" s="71"/>
      <c r="AE102" s="71"/>
    </row>
    <row r="103" spans="1:31" x14ac:dyDescent="0.3">
      <c r="A103" s="22"/>
      <c r="B103" s="71"/>
      <c r="C103" s="22"/>
      <c r="D103" s="22"/>
      <c r="E103" s="23"/>
      <c r="F103" s="22"/>
      <c r="G103" s="22"/>
      <c r="H103" s="22"/>
      <c r="I103" s="22"/>
      <c r="J103" s="22"/>
      <c r="K103" s="23"/>
      <c r="L103" s="22"/>
      <c r="M103" s="22"/>
      <c r="N103" s="22"/>
      <c r="O103" s="23"/>
      <c r="P103" s="71"/>
      <c r="Q103" s="71"/>
      <c r="R103" s="22"/>
      <c r="S103" s="22"/>
      <c r="T103" s="22"/>
      <c r="U103" s="71"/>
      <c r="V103" s="71"/>
      <c r="W103" s="71"/>
      <c r="X103" s="71"/>
      <c r="Y103" s="71"/>
      <c r="Z103" s="71"/>
      <c r="AA103" s="71"/>
      <c r="AB103" s="71"/>
      <c r="AC103" s="71"/>
      <c r="AD103" s="71"/>
      <c r="AE103" s="71"/>
    </row>
    <row r="104" spans="1:31" x14ac:dyDescent="0.3">
      <c r="A104" s="22"/>
      <c r="B104" s="71"/>
      <c r="C104" s="22"/>
      <c r="D104" s="22"/>
      <c r="E104" s="23"/>
      <c r="F104" s="22"/>
      <c r="G104" s="22"/>
      <c r="H104" s="22"/>
      <c r="I104" s="22"/>
      <c r="J104" s="22"/>
      <c r="K104" s="23"/>
      <c r="L104" s="22"/>
      <c r="M104" s="22"/>
      <c r="N104" s="22"/>
      <c r="O104" s="23"/>
      <c r="P104" s="71"/>
      <c r="Q104" s="71"/>
      <c r="R104" s="22"/>
      <c r="S104" s="22"/>
      <c r="T104" s="22"/>
      <c r="U104" s="71"/>
      <c r="V104" s="71"/>
      <c r="W104" s="71"/>
      <c r="X104" s="71"/>
      <c r="Y104" s="71"/>
      <c r="Z104" s="71"/>
      <c r="AA104" s="71"/>
      <c r="AB104" s="71"/>
      <c r="AC104" s="71"/>
      <c r="AD104" s="71"/>
      <c r="AE104" s="71"/>
    </row>
    <row r="105" spans="1:31" x14ac:dyDescent="0.3">
      <c r="A105" s="22"/>
      <c r="B105" s="71"/>
      <c r="C105" s="22"/>
      <c r="D105" s="22"/>
      <c r="E105" s="23"/>
      <c r="F105" s="22"/>
      <c r="G105" s="22"/>
      <c r="H105" s="22"/>
      <c r="I105" s="22"/>
      <c r="J105" s="22"/>
      <c r="K105" s="23"/>
      <c r="L105" s="22"/>
      <c r="M105" s="22"/>
      <c r="N105" s="22"/>
      <c r="O105" s="23"/>
      <c r="P105" s="71"/>
      <c r="Q105" s="71"/>
      <c r="R105" s="22"/>
      <c r="S105" s="22"/>
      <c r="T105" s="22"/>
      <c r="U105" s="71"/>
      <c r="V105" s="71"/>
      <c r="W105" s="71"/>
      <c r="X105" s="71"/>
      <c r="Y105" s="71"/>
      <c r="Z105" s="71"/>
      <c r="AA105" s="71"/>
      <c r="AB105" s="71"/>
      <c r="AC105" s="71"/>
      <c r="AD105" s="71"/>
      <c r="AE105" s="71"/>
    </row>
    <row r="106" spans="1:31" x14ac:dyDescent="0.3">
      <c r="A106" s="22"/>
      <c r="B106" s="71"/>
      <c r="C106" s="22"/>
      <c r="D106" s="22"/>
      <c r="E106" s="23"/>
      <c r="F106" s="22"/>
      <c r="G106" s="22"/>
      <c r="H106" s="22"/>
      <c r="I106" s="22"/>
      <c r="J106" s="22"/>
      <c r="K106" s="23"/>
      <c r="L106" s="22"/>
      <c r="M106" s="22"/>
      <c r="N106" s="22"/>
      <c r="O106" s="23"/>
      <c r="P106" s="71"/>
      <c r="Q106" s="71"/>
      <c r="R106" s="22"/>
      <c r="S106" s="22"/>
      <c r="T106" s="22"/>
      <c r="U106" s="71"/>
      <c r="V106" s="71"/>
      <c r="W106" s="71"/>
      <c r="X106" s="71"/>
      <c r="Y106" s="71"/>
      <c r="Z106" s="71"/>
      <c r="AA106" s="71"/>
      <c r="AB106" s="71"/>
      <c r="AC106" s="71"/>
      <c r="AD106" s="71"/>
      <c r="AE106" s="71"/>
    </row>
    <row r="107" spans="1:31" x14ac:dyDescent="0.3">
      <c r="A107" s="22"/>
      <c r="B107" s="71"/>
      <c r="C107" s="22"/>
      <c r="D107" s="22"/>
      <c r="E107" s="23"/>
      <c r="F107" s="22"/>
      <c r="G107" s="22"/>
      <c r="H107" s="22"/>
      <c r="I107" s="22"/>
      <c r="J107" s="22"/>
      <c r="K107" s="23"/>
      <c r="L107" s="22"/>
      <c r="M107" s="22"/>
      <c r="N107" s="22"/>
      <c r="O107" s="23"/>
      <c r="P107" s="71"/>
      <c r="Q107" s="71"/>
      <c r="R107" s="22"/>
      <c r="S107" s="22"/>
      <c r="T107" s="22"/>
      <c r="U107" s="71"/>
      <c r="V107" s="71"/>
      <c r="W107" s="71"/>
      <c r="X107" s="71"/>
      <c r="Y107" s="71"/>
      <c r="Z107" s="71"/>
      <c r="AA107" s="71"/>
      <c r="AB107" s="71"/>
      <c r="AC107" s="71"/>
      <c r="AD107" s="71"/>
      <c r="AE107" s="71"/>
    </row>
    <row r="108" spans="1:31" x14ac:dyDescent="0.3">
      <c r="A108" s="22"/>
      <c r="B108" s="71"/>
      <c r="C108" s="22"/>
      <c r="D108" s="22"/>
      <c r="E108" s="23"/>
      <c r="F108" s="22"/>
      <c r="G108" s="22"/>
      <c r="H108" s="22"/>
      <c r="I108" s="22"/>
      <c r="J108" s="22"/>
      <c r="K108" s="23"/>
      <c r="L108" s="22"/>
      <c r="M108" s="22"/>
      <c r="N108" s="22"/>
      <c r="O108" s="23"/>
      <c r="P108" s="71"/>
      <c r="Q108" s="71"/>
      <c r="R108" s="22"/>
      <c r="S108" s="22"/>
      <c r="T108" s="22"/>
      <c r="U108" s="71"/>
      <c r="V108" s="71"/>
      <c r="W108" s="71"/>
      <c r="X108" s="71"/>
      <c r="Y108" s="71"/>
      <c r="Z108" s="71"/>
      <c r="AA108" s="71"/>
      <c r="AB108" s="71"/>
      <c r="AC108" s="71"/>
      <c r="AD108" s="71"/>
      <c r="AE108" s="71"/>
    </row>
    <row r="109" spans="1:31" x14ac:dyDescent="0.3">
      <c r="A109" s="22"/>
      <c r="B109" s="71"/>
      <c r="C109" s="22"/>
      <c r="D109" s="22"/>
      <c r="E109" s="23"/>
      <c r="F109" s="22"/>
      <c r="G109" s="22"/>
      <c r="H109" s="22"/>
      <c r="I109" s="22"/>
      <c r="J109" s="22"/>
      <c r="K109" s="23"/>
      <c r="L109" s="22"/>
      <c r="M109" s="22"/>
      <c r="N109" s="22"/>
      <c r="O109" s="23"/>
      <c r="P109" s="71"/>
      <c r="Q109" s="71"/>
      <c r="R109" s="22"/>
      <c r="S109" s="22"/>
      <c r="T109" s="22"/>
      <c r="U109" s="71"/>
      <c r="V109" s="71"/>
      <c r="W109" s="71"/>
      <c r="X109" s="71"/>
      <c r="Y109" s="71"/>
      <c r="Z109" s="71"/>
      <c r="AA109" s="71"/>
      <c r="AB109" s="71"/>
      <c r="AC109" s="71"/>
      <c r="AD109" s="71"/>
      <c r="AE109" s="71"/>
    </row>
    <row r="110" spans="1:31" x14ac:dyDescent="0.3">
      <c r="A110" s="22"/>
      <c r="B110" s="71"/>
      <c r="C110" s="22"/>
      <c r="D110" s="22"/>
      <c r="E110" s="23"/>
      <c r="F110" s="22"/>
      <c r="G110" s="22"/>
      <c r="H110" s="22"/>
      <c r="I110" s="22"/>
      <c r="J110" s="22"/>
      <c r="K110" s="23"/>
      <c r="L110" s="22"/>
      <c r="M110" s="22"/>
      <c r="N110" s="22"/>
      <c r="O110" s="23"/>
      <c r="P110" s="71"/>
      <c r="Q110" s="71"/>
      <c r="R110" s="22"/>
      <c r="S110" s="22"/>
      <c r="T110" s="22"/>
      <c r="U110" s="71"/>
      <c r="V110" s="71"/>
      <c r="W110" s="71"/>
      <c r="X110" s="71"/>
      <c r="Y110" s="71"/>
      <c r="Z110" s="71"/>
      <c r="AA110" s="71"/>
      <c r="AB110" s="71"/>
      <c r="AC110" s="71"/>
      <c r="AD110" s="71"/>
      <c r="AE110" s="71"/>
    </row>
    <row r="111" spans="1:31" x14ac:dyDescent="0.3">
      <c r="A111" s="22"/>
      <c r="B111" s="71"/>
      <c r="C111" s="22"/>
      <c r="D111" s="22"/>
      <c r="E111" s="23"/>
      <c r="F111" s="22"/>
      <c r="G111" s="22"/>
      <c r="H111" s="22"/>
      <c r="I111" s="22"/>
      <c r="J111" s="22"/>
      <c r="K111" s="23"/>
      <c r="L111" s="22"/>
      <c r="M111" s="22"/>
      <c r="N111" s="22"/>
      <c r="O111" s="23"/>
      <c r="P111" s="71"/>
      <c r="Q111" s="71"/>
      <c r="R111" s="22"/>
      <c r="S111" s="22"/>
      <c r="T111" s="22"/>
      <c r="U111" s="71"/>
      <c r="V111" s="71"/>
      <c r="W111" s="71"/>
      <c r="X111" s="71"/>
      <c r="Y111" s="71"/>
      <c r="Z111" s="71"/>
      <c r="AA111" s="71"/>
      <c r="AB111" s="71"/>
      <c r="AC111" s="71"/>
      <c r="AD111" s="71"/>
      <c r="AE111" s="71"/>
    </row>
    <row r="112" spans="1:31" x14ac:dyDescent="0.3">
      <c r="A112" s="22"/>
      <c r="B112" s="71"/>
      <c r="C112" s="22"/>
      <c r="D112" s="22"/>
      <c r="E112" s="23"/>
      <c r="F112" s="22"/>
      <c r="G112" s="22"/>
      <c r="H112" s="22"/>
      <c r="I112" s="22"/>
      <c r="J112" s="22"/>
      <c r="K112" s="23"/>
      <c r="L112" s="22"/>
      <c r="M112" s="22"/>
      <c r="N112" s="22"/>
      <c r="O112" s="23"/>
      <c r="P112" s="71"/>
      <c r="Q112" s="71"/>
      <c r="R112" s="22"/>
      <c r="S112" s="22"/>
      <c r="T112" s="22"/>
      <c r="U112" s="71"/>
      <c r="V112" s="71"/>
      <c r="W112" s="71"/>
      <c r="X112" s="71"/>
      <c r="Y112" s="71"/>
      <c r="Z112" s="71"/>
      <c r="AA112" s="71"/>
      <c r="AB112" s="71"/>
      <c r="AC112" s="71"/>
      <c r="AD112" s="71"/>
      <c r="AE112" s="71"/>
    </row>
    <row r="113" spans="1:31" x14ac:dyDescent="0.3">
      <c r="A113" s="22"/>
      <c r="B113" s="71"/>
      <c r="C113" s="22"/>
      <c r="D113" s="22"/>
      <c r="E113" s="23"/>
      <c r="F113" s="22"/>
      <c r="G113" s="22"/>
      <c r="H113" s="22"/>
      <c r="I113" s="22"/>
      <c r="J113" s="22"/>
      <c r="K113" s="23"/>
      <c r="L113" s="22"/>
      <c r="M113" s="22"/>
      <c r="N113" s="22"/>
      <c r="O113" s="23"/>
      <c r="P113" s="71"/>
      <c r="Q113" s="71"/>
      <c r="R113" s="22"/>
      <c r="S113" s="22"/>
      <c r="T113" s="22"/>
      <c r="U113" s="71"/>
      <c r="V113" s="71"/>
      <c r="W113" s="71"/>
      <c r="X113" s="71"/>
      <c r="Y113" s="71"/>
      <c r="Z113" s="71"/>
      <c r="AA113" s="71"/>
      <c r="AB113" s="71"/>
      <c r="AC113" s="71"/>
      <c r="AD113" s="71"/>
      <c r="AE113" s="71"/>
    </row>
    <row r="114" spans="1:31" x14ac:dyDescent="0.3">
      <c r="A114" s="22"/>
      <c r="B114" s="71"/>
      <c r="C114" s="22"/>
      <c r="D114" s="22"/>
      <c r="E114" s="23"/>
      <c r="F114" s="22"/>
      <c r="G114" s="22"/>
      <c r="H114" s="22"/>
      <c r="I114" s="22"/>
      <c r="J114" s="22"/>
      <c r="K114" s="23"/>
      <c r="L114" s="22"/>
      <c r="M114" s="22"/>
      <c r="N114" s="22"/>
      <c r="O114" s="23"/>
      <c r="P114" s="71"/>
      <c r="Q114" s="71"/>
      <c r="R114" s="22"/>
      <c r="S114" s="22"/>
      <c r="T114" s="22"/>
      <c r="U114" s="71"/>
      <c r="V114" s="71"/>
      <c r="W114" s="71"/>
      <c r="X114" s="71"/>
      <c r="Y114" s="71"/>
      <c r="Z114" s="71"/>
      <c r="AA114" s="71"/>
      <c r="AB114" s="71"/>
      <c r="AC114" s="71"/>
      <c r="AD114" s="71"/>
      <c r="AE114" s="71"/>
    </row>
    <row r="115" spans="1:31" x14ac:dyDescent="0.3">
      <c r="A115" s="22"/>
      <c r="B115" s="71"/>
      <c r="C115" s="22"/>
      <c r="D115" s="22"/>
      <c r="E115" s="23"/>
      <c r="F115" s="22"/>
      <c r="G115" s="22"/>
      <c r="H115" s="22"/>
      <c r="I115" s="22"/>
      <c r="J115" s="22"/>
      <c r="K115" s="23"/>
      <c r="L115" s="22"/>
      <c r="M115" s="22"/>
      <c r="N115" s="22"/>
      <c r="O115" s="23"/>
      <c r="P115" s="71"/>
      <c r="Q115" s="71"/>
      <c r="R115" s="22"/>
      <c r="S115" s="22"/>
      <c r="T115" s="22"/>
      <c r="U115" s="71"/>
      <c r="V115" s="71"/>
      <c r="W115" s="71"/>
      <c r="X115" s="71"/>
      <c r="Y115" s="71"/>
      <c r="Z115" s="71"/>
      <c r="AA115" s="71"/>
      <c r="AB115" s="71"/>
      <c r="AC115" s="71"/>
      <c r="AD115" s="71"/>
      <c r="AE115" s="71"/>
    </row>
    <row r="116" spans="1:31" x14ac:dyDescent="0.3">
      <c r="A116" s="22"/>
      <c r="B116" s="71"/>
      <c r="C116" s="22"/>
      <c r="D116" s="22"/>
      <c r="E116" s="23"/>
      <c r="F116" s="22"/>
      <c r="G116" s="22"/>
      <c r="H116" s="22"/>
      <c r="I116" s="22"/>
      <c r="J116" s="22"/>
      <c r="K116" s="23"/>
      <c r="L116" s="22"/>
      <c r="M116" s="22"/>
      <c r="N116" s="22"/>
      <c r="O116" s="23"/>
      <c r="P116" s="71"/>
      <c r="Q116" s="71"/>
      <c r="R116" s="22"/>
      <c r="S116" s="22"/>
      <c r="T116" s="22"/>
      <c r="U116" s="71"/>
      <c r="V116" s="71"/>
      <c r="W116" s="71"/>
      <c r="X116" s="71"/>
      <c r="Y116" s="71"/>
      <c r="Z116" s="71"/>
      <c r="AA116" s="71"/>
      <c r="AB116" s="71"/>
      <c r="AC116" s="71"/>
      <c r="AD116" s="71"/>
      <c r="AE116" s="71"/>
    </row>
    <row r="117" spans="1:31" x14ac:dyDescent="0.3">
      <c r="A117" s="22"/>
      <c r="B117" s="71"/>
      <c r="C117" s="22"/>
      <c r="D117" s="22"/>
      <c r="E117" s="23"/>
      <c r="F117" s="22"/>
      <c r="G117" s="22"/>
      <c r="H117" s="22"/>
      <c r="I117" s="22"/>
      <c r="J117" s="22"/>
      <c r="K117" s="23"/>
      <c r="L117" s="22"/>
      <c r="M117" s="22"/>
      <c r="N117" s="22"/>
      <c r="O117" s="23"/>
      <c r="P117" s="71"/>
      <c r="Q117" s="71"/>
      <c r="R117" s="22"/>
      <c r="S117" s="22"/>
      <c r="T117" s="22"/>
      <c r="U117" s="71"/>
      <c r="V117" s="71"/>
      <c r="W117" s="71"/>
      <c r="X117" s="71"/>
      <c r="Y117" s="71"/>
      <c r="Z117" s="71"/>
      <c r="AA117" s="71"/>
      <c r="AB117" s="71"/>
      <c r="AC117" s="71"/>
      <c r="AD117" s="71"/>
      <c r="AE117" s="71"/>
    </row>
    <row r="118" spans="1:31" x14ac:dyDescent="0.3">
      <c r="A118" s="22"/>
      <c r="B118" s="71"/>
      <c r="C118" s="22"/>
      <c r="D118" s="22"/>
      <c r="E118" s="23"/>
      <c r="F118" s="22"/>
      <c r="G118" s="22"/>
      <c r="H118" s="22"/>
      <c r="I118" s="22"/>
      <c r="J118" s="22"/>
      <c r="K118" s="23"/>
      <c r="L118" s="22"/>
      <c r="M118" s="22"/>
      <c r="N118" s="22"/>
      <c r="O118" s="23"/>
      <c r="P118" s="71"/>
      <c r="Q118" s="71"/>
      <c r="R118" s="22"/>
      <c r="S118" s="22"/>
      <c r="T118" s="22"/>
      <c r="U118" s="71"/>
      <c r="V118" s="71"/>
      <c r="W118" s="71"/>
      <c r="X118" s="71"/>
      <c r="Y118" s="71"/>
      <c r="Z118" s="71"/>
      <c r="AA118" s="71"/>
      <c r="AB118" s="71"/>
      <c r="AC118" s="71"/>
      <c r="AD118" s="71"/>
      <c r="AE118" s="71"/>
    </row>
    <row r="119" spans="1:31" x14ac:dyDescent="0.3">
      <c r="A119" s="22"/>
      <c r="B119" s="71"/>
      <c r="C119" s="22"/>
      <c r="D119" s="22"/>
      <c r="E119" s="23"/>
      <c r="F119" s="22"/>
      <c r="G119" s="22"/>
      <c r="H119" s="22"/>
      <c r="I119" s="22"/>
      <c r="J119" s="22"/>
      <c r="K119" s="23"/>
      <c r="L119" s="22"/>
      <c r="M119" s="22"/>
      <c r="N119" s="22"/>
      <c r="O119" s="23"/>
      <c r="P119" s="71"/>
      <c r="Q119" s="71"/>
      <c r="R119" s="22"/>
      <c r="S119" s="22"/>
      <c r="T119" s="22"/>
      <c r="U119" s="71"/>
      <c r="V119" s="71"/>
      <c r="W119" s="71"/>
      <c r="X119" s="71"/>
      <c r="Y119" s="71"/>
      <c r="Z119" s="71"/>
      <c r="AA119" s="71"/>
      <c r="AB119" s="71"/>
      <c r="AC119" s="71"/>
      <c r="AD119" s="71"/>
      <c r="AE119" s="71"/>
    </row>
    <row r="120" spans="1:31" x14ac:dyDescent="0.3">
      <c r="A120" s="22"/>
      <c r="B120" s="71"/>
      <c r="C120" s="22"/>
      <c r="D120" s="22"/>
      <c r="E120" s="23"/>
      <c r="F120" s="22"/>
      <c r="G120" s="22"/>
      <c r="H120" s="22"/>
      <c r="I120" s="22"/>
      <c r="J120" s="22"/>
      <c r="K120" s="23"/>
      <c r="L120" s="22"/>
      <c r="M120" s="22"/>
      <c r="N120" s="22"/>
      <c r="O120" s="23"/>
      <c r="P120" s="71"/>
      <c r="Q120" s="71"/>
      <c r="R120" s="22"/>
      <c r="S120" s="22"/>
      <c r="T120" s="22"/>
      <c r="U120" s="71"/>
      <c r="V120" s="71"/>
      <c r="W120" s="71"/>
      <c r="X120" s="71"/>
      <c r="Y120" s="71"/>
      <c r="Z120" s="71"/>
      <c r="AA120" s="71"/>
      <c r="AB120" s="71"/>
      <c r="AC120" s="71"/>
      <c r="AD120" s="71"/>
      <c r="AE120" s="71"/>
    </row>
    <row r="121" spans="1:31" x14ac:dyDescent="0.3">
      <c r="A121" s="22"/>
      <c r="B121" s="71"/>
      <c r="C121" s="22"/>
      <c r="D121" s="22"/>
      <c r="E121" s="23"/>
      <c r="F121" s="22"/>
      <c r="G121" s="22"/>
      <c r="H121" s="22"/>
      <c r="I121" s="22"/>
      <c r="J121" s="22"/>
      <c r="K121" s="23"/>
      <c r="L121" s="22"/>
      <c r="M121" s="22"/>
      <c r="N121" s="22"/>
      <c r="O121" s="23"/>
      <c r="P121" s="71"/>
      <c r="Q121" s="71"/>
      <c r="R121" s="22"/>
      <c r="S121" s="22"/>
      <c r="T121" s="22"/>
      <c r="U121" s="71"/>
      <c r="V121" s="71"/>
      <c r="W121" s="71"/>
      <c r="X121" s="71"/>
      <c r="Y121" s="71"/>
      <c r="Z121" s="71"/>
      <c r="AA121" s="71"/>
      <c r="AB121" s="71"/>
      <c r="AC121" s="71"/>
      <c r="AD121" s="71"/>
      <c r="AE121" s="71"/>
    </row>
    <row r="122" spans="1:31" x14ac:dyDescent="0.3">
      <c r="A122" s="22"/>
      <c r="B122" s="71"/>
      <c r="C122" s="22"/>
      <c r="D122" s="22"/>
      <c r="E122" s="23"/>
      <c r="F122" s="22"/>
      <c r="G122" s="22"/>
      <c r="H122" s="22"/>
      <c r="I122" s="22"/>
      <c r="J122" s="22"/>
      <c r="K122" s="23"/>
      <c r="L122" s="22"/>
      <c r="M122" s="22"/>
      <c r="N122" s="22"/>
      <c r="O122" s="23"/>
      <c r="P122" s="71"/>
      <c r="Q122" s="71"/>
      <c r="R122" s="22"/>
      <c r="S122" s="22"/>
      <c r="T122" s="22"/>
      <c r="U122" s="71"/>
      <c r="V122" s="71"/>
      <c r="W122" s="71"/>
      <c r="X122" s="71"/>
      <c r="Y122" s="71"/>
      <c r="Z122" s="71"/>
      <c r="AA122" s="71"/>
      <c r="AB122" s="71"/>
      <c r="AC122" s="71"/>
      <c r="AD122" s="71"/>
      <c r="AE122" s="71"/>
    </row>
    <row r="123" spans="1:31" x14ac:dyDescent="0.3">
      <c r="A123" s="22"/>
      <c r="B123" s="71"/>
      <c r="C123" s="22"/>
      <c r="D123" s="22"/>
      <c r="E123" s="23"/>
      <c r="F123" s="22"/>
      <c r="G123" s="22"/>
      <c r="H123" s="22"/>
      <c r="I123" s="22"/>
      <c r="J123" s="22"/>
      <c r="K123" s="23"/>
      <c r="L123" s="22"/>
      <c r="M123" s="22"/>
      <c r="N123" s="22"/>
      <c r="O123" s="23"/>
      <c r="P123" s="71"/>
      <c r="Q123" s="71"/>
      <c r="R123" s="22"/>
      <c r="S123" s="22"/>
      <c r="T123" s="22"/>
      <c r="U123" s="71"/>
      <c r="V123" s="71"/>
      <c r="W123" s="71"/>
      <c r="X123" s="71"/>
      <c r="Y123" s="71"/>
      <c r="Z123" s="71"/>
      <c r="AA123" s="71"/>
      <c r="AB123" s="71"/>
      <c r="AC123" s="71"/>
      <c r="AD123" s="71"/>
      <c r="AE123" s="71"/>
    </row>
    <row r="124" spans="1:31" x14ac:dyDescent="0.3">
      <c r="A124" s="22"/>
      <c r="B124" s="71"/>
      <c r="C124" s="22"/>
      <c r="D124" s="22"/>
      <c r="E124" s="23"/>
      <c r="F124" s="22"/>
      <c r="G124" s="22"/>
      <c r="H124" s="22"/>
      <c r="I124" s="22"/>
      <c r="J124" s="22"/>
      <c r="K124" s="23"/>
      <c r="L124" s="22"/>
      <c r="M124" s="22"/>
      <c r="N124" s="22"/>
      <c r="O124" s="23"/>
      <c r="P124" s="71"/>
      <c r="Q124" s="71"/>
      <c r="R124" s="22"/>
      <c r="S124" s="22"/>
      <c r="T124" s="22"/>
      <c r="U124" s="71"/>
      <c r="V124" s="71"/>
      <c r="W124" s="71"/>
      <c r="X124" s="71"/>
      <c r="Y124" s="71"/>
      <c r="Z124" s="71"/>
      <c r="AA124" s="71"/>
      <c r="AB124" s="71"/>
      <c r="AC124" s="71"/>
      <c r="AD124" s="71"/>
      <c r="AE124" s="71"/>
    </row>
    <row r="125" spans="1:31" x14ac:dyDescent="0.3">
      <c r="A125" s="22"/>
      <c r="B125" s="71"/>
      <c r="C125" s="22"/>
      <c r="D125" s="22"/>
      <c r="E125" s="23"/>
      <c r="F125" s="22"/>
      <c r="G125" s="22"/>
      <c r="H125" s="22"/>
      <c r="I125" s="22"/>
      <c r="J125" s="22"/>
      <c r="K125" s="23"/>
      <c r="L125" s="22"/>
      <c r="M125" s="22"/>
      <c r="N125" s="22"/>
      <c r="O125" s="23"/>
      <c r="P125" s="71"/>
      <c r="Q125" s="71"/>
      <c r="R125" s="22"/>
      <c r="S125" s="22"/>
      <c r="T125" s="22"/>
      <c r="U125" s="71"/>
      <c r="V125" s="71"/>
      <c r="W125" s="71"/>
      <c r="X125" s="71"/>
      <c r="Y125" s="71"/>
      <c r="Z125" s="71"/>
      <c r="AA125" s="71"/>
      <c r="AB125" s="71"/>
      <c r="AC125" s="71"/>
      <c r="AD125" s="71"/>
      <c r="AE125" s="71"/>
    </row>
    <row r="126" spans="1:31" x14ac:dyDescent="0.3">
      <c r="A126" s="22"/>
      <c r="B126" s="71"/>
      <c r="C126" s="22"/>
      <c r="D126" s="22"/>
      <c r="E126" s="23"/>
      <c r="F126" s="22"/>
      <c r="G126" s="22"/>
      <c r="H126" s="22"/>
      <c r="I126" s="22"/>
      <c r="J126" s="22"/>
      <c r="K126" s="23"/>
      <c r="L126" s="22"/>
      <c r="M126" s="22"/>
      <c r="N126" s="22"/>
      <c r="O126" s="23"/>
      <c r="P126" s="71"/>
      <c r="Q126" s="71"/>
      <c r="R126" s="22"/>
      <c r="S126" s="22"/>
      <c r="T126" s="22"/>
      <c r="U126" s="71"/>
      <c r="V126" s="71"/>
      <c r="W126" s="71"/>
      <c r="X126" s="71"/>
      <c r="Y126" s="71"/>
      <c r="Z126" s="71"/>
      <c r="AA126" s="71"/>
      <c r="AB126" s="71"/>
      <c r="AC126" s="71"/>
      <c r="AD126" s="71"/>
      <c r="AE126" s="71"/>
    </row>
    <row r="127" spans="1:31" x14ac:dyDescent="0.3">
      <c r="A127" s="22"/>
      <c r="B127" s="71"/>
      <c r="C127" s="22"/>
      <c r="D127" s="22"/>
      <c r="E127" s="23"/>
      <c r="F127" s="22"/>
      <c r="G127" s="22"/>
      <c r="H127" s="22"/>
      <c r="I127" s="22"/>
      <c r="J127" s="22"/>
      <c r="K127" s="23"/>
      <c r="L127" s="22"/>
      <c r="M127" s="22"/>
      <c r="N127" s="22"/>
      <c r="O127" s="23"/>
      <c r="P127" s="71"/>
      <c r="Q127" s="71"/>
      <c r="R127" s="22"/>
      <c r="S127" s="22"/>
      <c r="T127" s="22"/>
      <c r="U127" s="71"/>
      <c r="V127" s="71"/>
      <c r="W127" s="71"/>
      <c r="X127" s="71"/>
      <c r="Y127" s="71"/>
      <c r="Z127" s="71"/>
      <c r="AA127" s="71"/>
      <c r="AB127" s="71"/>
      <c r="AC127" s="71"/>
      <c r="AD127" s="71"/>
      <c r="AE127" s="71"/>
    </row>
    <row r="128" spans="1:31" x14ac:dyDescent="0.3">
      <c r="A128" s="22"/>
      <c r="B128" s="71"/>
      <c r="C128" s="22"/>
      <c r="D128" s="22"/>
      <c r="E128" s="23"/>
      <c r="F128" s="22"/>
      <c r="G128" s="22"/>
      <c r="H128" s="22"/>
      <c r="I128" s="22"/>
      <c r="J128" s="22"/>
      <c r="K128" s="23"/>
      <c r="L128" s="22"/>
      <c r="M128" s="22"/>
      <c r="N128" s="22"/>
      <c r="O128" s="23"/>
      <c r="P128" s="71"/>
      <c r="Q128" s="71"/>
      <c r="R128" s="22"/>
      <c r="S128" s="22"/>
      <c r="T128" s="22"/>
      <c r="U128" s="71"/>
      <c r="V128" s="71"/>
      <c r="W128" s="71"/>
      <c r="X128" s="71"/>
      <c r="Y128" s="71"/>
      <c r="Z128" s="71"/>
      <c r="AA128" s="71"/>
      <c r="AB128" s="71"/>
      <c r="AC128" s="71"/>
      <c r="AD128" s="71"/>
      <c r="AE128" s="71"/>
    </row>
    <row r="129" spans="1:31" x14ac:dyDescent="0.3">
      <c r="A129" s="22"/>
      <c r="B129" s="71"/>
      <c r="C129" s="22"/>
      <c r="D129" s="22"/>
      <c r="E129" s="23"/>
      <c r="F129" s="22"/>
      <c r="G129" s="22"/>
      <c r="H129" s="22"/>
      <c r="I129" s="22"/>
      <c r="J129" s="22"/>
      <c r="K129" s="23"/>
      <c r="L129" s="22"/>
      <c r="M129" s="22"/>
      <c r="N129" s="22"/>
      <c r="O129" s="23"/>
      <c r="P129" s="71"/>
      <c r="Q129" s="71"/>
      <c r="R129" s="22"/>
      <c r="S129" s="22"/>
      <c r="T129" s="22"/>
      <c r="U129" s="71"/>
      <c r="V129" s="71"/>
      <c r="W129" s="71"/>
      <c r="X129" s="71"/>
      <c r="Y129" s="71"/>
      <c r="Z129" s="71"/>
      <c r="AA129" s="71"/>
      <c r="AB129" s="71"/>
      <c r="AC129" s="71"/>
      <c r="AD129" s="71"/>
      <c r="AE129" s="71"/>
    </row>
    <row r="130" spans="1:31" x14ac:dyDescent="0.3">
      <c r="A130" s="22"/>
      <c r="B130" s="71"/>
      <c r="C130" s="22"/>
      <c r="D130" s="22"/>
      <c r="E130" s="23"/>
      <c r="F130" s="22"/>
      <c r="G130" s="22"/>
      <c r="H130" s="22"/>
      <c r="I130" s="22"/>
      <c r="J130" s="22"/>
      <c r="K130" s="23"/>
      <c r="L130" s="22"/>
      <c r="M130" s="22"/>
      <c r="N130" s="22"/>
      <c r="O130" s="23"/>
      <c r="P130" s="71"/>
      <c r="Q130" s="71"/>
      <c r="R130" s="22"/>
      <c r="S130" s="22"/>
      <c r="T130" s="22"/>
      <c r="U130" s="71"/>
      <c r="V130" s="71"/>
      <c r="W130" s="71"/>
      <c r="X130" s="71"/>
      <c r="Y130" s="71"/>
      <c r="Z130" s="71"/>
      <c r="AA130" s="71"/>
      <c r="AB130" s="71"/>
      <c r="AC130" s="71"/>
      <c r="AD130" s="71"/>
      <c r="AE130" s="71"/>
    </row>
  </sheetData>
  <sheetProtection algorithmName="SHA-512" hashValue="Idw4jXK6qD5buJ5wLBMz0vocYVx1ppxzLjflhMHsFZhiYauAOM7YrXWYj2h/sR7Snk1lbwQf3P/Bas5NgUvA1g==" saltValue="cWY1prMvA3uPuU4twdtGSg==" spinCount="100000" sheet="1" objects="1" scenarios="1" selectLockedCells="1"/>
  <mergeCells count="17">
    <mergeCell ref="A4:A6"/>
    <mergeCell ref="R4:R7"/>
    <mergeCell ref="H33:K33"/>
    <mergeCell ref="H25:K25"/>
    <mergeCell ref="H35:K35"/>
    <mergeCell ref="C14:O14"/>
    <mergeCell ref="H27:K27"/>
    <mergeCell ref="H29:K29"/>
    <mergeCell ref="H31:K31"/>
    <mergeCell ref="M10:O10"/>
    <mergeCell ref="H18:M18"/>
    <mergeCell ref="C41:O41"/>
    <mergeCell ref="H20:O20"/>
    <mergeCell ref="H22:M22"/>
    <mergeCell ref="H37:K37"/>
    <mergeCell ref="C45:D45"/>
    <mergeCell ref="E45:O45"/>
  </mergeCells>
  <conditionalFormatting sqref="C2:O6">
    <cfRule type="iconSet" priority="96">
      <iconSet iconSet="3Symbols" showValue="0">
        <cfvo type="percent" val="0"/>
        <cfvo type="num" val="1"/>
        <cfvo type="num" val="2"/>
      </iconSet>
    </cfRule>
  </conditionalFormatting>
  <conditionalFormatting sqref="H25:K25">
    <cfRule type="expression" dxfId="113" priority="3">
      <formula>$R$25=""</formula>
    </cfRule>
  </conditionalFormatting>
  <conditionalFormatting sqref="H27:K27 H29:K29 H31:K31 H33:K33">
    <cfRule type="expression" dxfId="112" priority="55">
      <formula>ISBLANK(H27)=TRUE</formula>
    </cfRule>
  </conditionalFormatting>
  <conditionalFormatting sqref="H27:K37">
    <cfRule type="expression" dxfId="111" priority="9">
      <formula>H27&lt;&gt;""</formula>
    </cfRule>
  </conditionalFormatting>
  <conditionalFormatting sqref="H35:K35 H37:K37">
    <cfRule type="expression" dxfId="110" priority="52">
      <formula>AND(EA_PV_Status=FALSE,ISBLANK(H35)=TRUE)</formula>
    </cfRule>
    <cfRule type="expression" dxfId="109" priority="53">
      <formula>AND(EA_PV_Status=TRUE,ISBLANK(H35)=TRUE)</formula>
    </cfRule>
  </conditionalFormatting>
  <conditionalFormatting sqref="H22:M22">
    <cfRule type="expression" dxfId="108" priority="1">
      <formula>$R$22=""</formula>
    </cfRule>
  </conditionalFormatting>
  <conditionalFormatting sqref="H20:O20">
    <cfRule type="expression" dxfId="107" priority="2">
      <formula>$R$20=""</formula>
    </cfRule>
  </conditionalFormatting>
  <dataValidations count="5">
    <dataValidation type="whole" operator="greaterThanOrEqual" allowBlank="1" showInputMessage="1" showErrorMessage="1" sqref="H35:K35 H27:K27 H37:K37" xr:uid="{00000000-0002-0000-0100-000000000000}">
      <formula1>0</formula1>
    </dataValidation>
    <dataValidation operator="greaterThanOrEqual" allowBlank="1" showInputMessage="1" showErrorMessage="1" sqref="H25:K25" xr:uid="{00000000-0002-0000-0100-000001000000}"/>
    <dataValidation type="whole" allowBlank="1" showInputMessage="1" showErrorMessage="1" sqref="A10" xr:uid="{00000000-0002-0000-0100-000002000000}">
      <formula1>0</formula1>
      <formula2>0</formula2>
    </dataValidation>
    <dataValidation type="decimal" allowBlank="1" showInputMessage="1" showErrorMessage="1" sqref="H29:K29 H31:K31" xr:uid="{00000000-0002-0000-0100-000003000000}">
      <formula1>-5</formula1>
      <formula2>10</formula2>
    </dataValidation>
    <dataValidation type="decimal" operator="greaterThanOrEqual" allowBlank="1" showInputMessage="1" showErrorMessage="1" sqref="H33:K33" xr:uid="{00000000-0002-0000-0100-000004000000}">
      <formula1>0</formula1>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ignoredErrors>
    <ignoredError sqref="H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3" r:id="rId4" name="Drop Down 3">
              <controlPr defaultSize="0" print="0" autoLine="0" autoPict="0">
                <anchor moveWithCells="1">
                  <from>
                    <xdr:col>7</xdr:col>
                    <xdr:colOff>0</xdr:colOff>
                    <xdr:row>19</xdr:row>
                    <xdr:rowOff>0</xdr:rowOff>
                  </from>
                  <to>
                    <xdr:col>15</xdr:col>
                    <xdr:colOff>0</xdr:colOff>
                    <xdr:row>20</xdr:row>
                    <xdr:rowOff>0</xdr:rowOff>
                  </to>
                </anchor>
              </controlPr>
            </control>
          </mc:Choice>
        </mc:AlternateContent>
        <mc:AlternateContent xmlns:mc="http://schemas.openxmlformats.org/markup-compatibility/2006">
          <mc:Choice Requires="x14">
            <control shapeId="25608" r:id="rId5" name="Check Box 8">
              <controlPr defaultSize="0" print="0" autoFill="0" autoLine="0" autoPict="0">
                <anchor moveWithCells="1">
                  <from>
                    <xdr:col>6</xdr:col>
                    <xdr:colOff>676275</xdr:colOff>
                    <xdr:row>20</xdr:row>
                    <xdr:rowOff>28575</xdr:rowOff>
                  </from>
                  <to>
                    <xdr:col>13</xdr:col>
                    <xdr:colOff>381000</xdr:colOff>
                    <xdr:row>22</xdr:row>
                    <xdr:rowOff>0</xdr:rowOff>
                  </to>
                </anchor>
              </controlPr>
            </control>
          </mc:Choice>
        </mc:AlternateContent>
        <mc:AlternateContent xmlns:mc="http://schemas.openxmlformats.org/markup-compatibility/2006">
          <mc:Choice Requires="x14">
            <control shapeId="25609" r:id="rId6" name="Drop Down 9">
              <controlPr defaultSize="0" print="0" autoLine="0" autoPict="0">
                <anchor moveWithCells="1">
                  <from>
                    <xdr:col>7</xdr:col>
                    <xdr:colOff>0</xdr:colOff>
                    <xdr:row>24</xdr:row>
                    <xdr:rowOff>0</xdr:rowOff>
                  </from>
                  <to>
                    <xdr:col>11</xdr:col>
                    <xdr:colOff>0</xdr:colOff>
                    <xdr:row>25</xdr:row>
                    <xdr:rowOff>0</xdr:rowOff>
                  </to>
                </anchor>
              </controlPr>
            </control>
          </mc:Choice>
        </mc:AlternateContent>
        <mc:AlternateContent xmlns:mc="http://schemas.openxmlformats.org/markup-compatibility/2006">
          <mc:Choice Requires="x14">
            <control shapeId="25610" r:id="rId7" name="Option Button 10">
              <controlPr defaultSize="0" print="0" autoFill="0" autoLine="0" autoPict="0">
                <anchor moveWithCells="1">
                  <from>
                    <xdr:col>6</xdr:col>
                    <xdr:colOff>676275</xdr:colOff>
                    <xdr:row>17</xdr:row>
                    <xdr:rowOff>0</xdr:rowOff>
                  </from>
                  <to>
                    <xdr:col>9</xdr:col>
                    <xdr:colOff>523875</xdr:colOff>
                    <xdr:row>18</xdr:row>
                    <xdr:rowOff>47625</xdr:rowOff>
                  </to>
                </anchor>
              </controlPr>
            </control>
          </mc:Choice>
        </mc:AlternateContent>
        <mc:AlternateContent xmlns:mc="http://schemas.openxmlformats.org/markup-compatibility/2006">
          <mc:Choice Requires="x14">
            <control shapeId="25611" r:id="rId8" name="Option Button 11">
              <controlPr defaultSize="0" print="0" autoFill="0" autoLine="0" autoPict="0">
                <anchor moveWithCells="1">
                  <from>
                    <xdr:col>9</xdr:col>
                    <xdr:colOff>504825</xdr:colOff>
                    <xdr:row>17</xdr:row>
                    <xdr:rowOff>0</xdr:rowOff>
                  </from>
                  <to>
                    <xdr:col>13</xdr:col>
                    <xdr:colOff>161925</xdr:colOff>
                    <xdr:row>18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tabColor rgb="FF2D4656"/>
  </sheetPr>
  <dimension ref="A1:BZ255"/>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74" customWidth="1"/>
    <col min="14" max="14" width="2.5703125" style="74" customWidth="1"/>
    <col min="15" max="15" width="26" style="20" customWidth="1"/>
    <col min="16" max="16" width="16.7109375" style="20" customWidth="1"/>
    <col min="17" max="17" width="30" style="20" customWidth="1"/>
    <col min="18" max="18" width="11.42578125" style="74" customWidth="1"/>
    <col min="19" max="27" width="11.42578125" style="74" hidden="1" customWidth="1"/>
    <col min="28" max="35" width="11.42578125" style="20" hidden="1" customWidth="1"/>
    <col min="36" max="51" width="11.42578125" style="20"/>
    <col min="52" max="78" width="11.42578125" style="22"/>
    <col min="79" max="16384" width="11.42578125" style="20"/>
  </cols>
  <sheetData>
    <row r="1" spans="1:51" x14ac:dyDescent="0.3">
      <c r="A1" s="22"/>
      <c r="B1" s="71"/>
      <c r="C1" s="22"/>
      <c r="D1" s="23"/>
      <c r="E1" s="22"/>
      <c r="F1" s="22"/>
      <c r="G1" s="22"/>
      <c r="H1" s="23"/>
      <c r="I1" s="22"/>
      <c r="J1" s="22"/>
      <c r="K1" s="22"/>
      <c r="L1" s="23"/>
      <c r="M1" s="71"/>
      <c r="N1" s="71"/>
      <c r="O1" s="22"/>
      <c r="P1" s="22"/>
      <c r="Q1" s="22"/>
      <c r="R1" s="71"/>
      <c r="S1" s="71"/>
      <c r="T1" s="71"/>
      <c r="U1" s="71"/>
      <c r="V1" s="71"/>
      <c r="W1" s="71"/>
      <c r="X1" s="71"/>
      <c r="Y1" s="71"/>
      <c r="Z1" s="71"/>
      <c r="AA1" s="71"/>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ht="18.75" customHeight="1" x14ac:dyDescent="0.3">
      <c r="A2" s="45">
        <v>1</v>
      </c>
      <c r="B2" s="77"/>
      <c r="C2" s="38" t="str">
        <f>" "&amp;INDEX(Auswahl!$G$2:$G$10,1+0)&amp;" | "&amp;INDEX(Auswahl!$H$2:$H$10,1+0)</f>
        <v xml:space="preserve"> A | Antragsformular</v>
      </c>
      <c r="D2" s="156">
        <f>IF(Auswahl!$I$2=TRUE,2,0)</f>
        <v>0</v>
      </c>
      <c r="E2" s="30"/>
      <c r="F2" s="38" t="str">
        <f>" "&amp;INDEX(Auswahl!$G$2:$G$10,1+3)&amp;" | "&amp;INDEX(Auswahl!$H$2:$H$10,1+3)</f>
        <v xml:space="preserve"> 2 | Pelletsanlage</v>
      </c>
      <c r="G2" s="44"/>
      <c r="H2" s="156">
        <f>IF(Auswahl!$I$5=TRUE,2,0)</f>
        <v>0</v>
      </c>
      <c r="I2" s="32"/>
      <c r="J2" s="38" t="str">
        <f>" "&amp;INDEX(Auswahl!$G$2:$G$10,1+6)&amp;" | "&amp;INDEX(Auswahl!$H$2:$H$10,1+6)</f>
        <v xml:space="preserve"> 5 | Wärmepumpe (Wasser)</v>
      </c>
      <c r="K2" s="44"/>
      <c r="L2" s="156">
        <f>IF(Auswahl!$I$8=TRUE,2,0)</f>
        <v>0</v>
      </c>
      <c r="M2" s="79"/>
      <c r="N2" s="79"/>
      <c r="O2" s="22"/>
      <c r="P2" s="22"/>
      <c r="Q2" s="22"/>
      <c r="R2" s="71"/>
      <c r="S2" s="71"/>
      <c r="T2" s="71"/>
      <c r="U2" s="71"/>
      <c r="V2" s="71"/>
      <c r="W2" s="71"/>
      <c r="X2" s="71"/>
      <c r="Y2" s="71"/>
      <c r="Z2" s="71"/>
      <c r="AA2" s="71"/>
      <c r="AB2" s="22"/>
      <c r="AC2" s="22"/>
      <c r="AD2" s="22"/>
      <c r="AE2" s="22"/>
      <c r="AF2" s="22"/>
      <c r="AG2" s="22"/>
      <c r="AH2" s="22"/>
      <c r="AI2" s="22"/>
      <c r="AJ2" s="22"/>
      <c r="AK2" s="22"/>
      <c r="AL2" s="22"/>
      <c r="AM2" s="22"/>
      <c r="AN2" s="22"/>
      <c r="AO2" s="22"/>
      <c r="AP2" s="22"/>
      <c r="AQ2" s="22"/>
      <c r="AR2" s="22"/>
      <c r="AS2" s="22"/>
      <c r="AT2" s="22"/>
      <c r="AU2" s="22"/>
      <c r="AV2" s="22"/>
      <c r="AW2" s="22"/>
      <c r="AX2" s="22"/>
      <c r="AY2" s="22"/>
    </row>
    <row r="3" spans="1:51" ht="3.75" customHeight="1" x14ac:dyDescent="0.3">
      <c r="A3" s="36"/>
      <c r="B3" s="77"/>
      <c r="C3" s="33"/>
      <c r="D3" s="27"/>
      <c r="E3" s="30"/>
      <c r="F3" s="34"/>
      <c r="G3" s="34"/>
      <c r="H3" s="153"/>
      <c r="I3" s="32"/>
      <c r="J3" s="33"/>
      <c r="K3" s="33"/>
      <c r="L3" s="153"/>
      <c r="M3" s="79"/>
      <c r="N3" s="79"/>
      <c r="O3" s="22"/>
      <c r="P3" s="22"/>
      <c r="Q3" s="22"/>
      <c r="R3" s="71"/>
      <c r="S3" s="71"/>
      <c r="T3" s="71"/>
      <c r="U3" s="71"/>
      <c r="V3" s="71"/>
      <c r="W3" s="71"/>
      <c r="X3" s="71"/>
      <c r="Y3" s="71"/>
      <c r="Z3" s="71"/>
      <c r="AA3" s="71"/>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ht="18.75" customHeight="1" x14ac:dyDescent="0.3">
      <c r="A4" s="334" t="s">
        <v>78</v>
      </c>
      <c r="B4" s="77"/>
      <c r="C4" s="38" t="str">
        <f>" "&amp;INDEX(Auswahl!$G$2:$G$10,1+1)&amp;" | "&amp;INDEX(Auswahl!$H$2:$H$10,1+1)</f>
        <v xml:space="preserve"> 0 | Basisangaben</v>
      </c>
      <c r="D4" s="156">
        <f>IF(Auswahl!$I$3=TRUE,2,0)</f>
        <v>0</v>
      </c>
      <c r="E4" s="30"/>
      <c r="F4" s="38" t="str">
        <f>" "&amp;INDEX(Auswahl!$G$2:$G$10,1+4)&amp;" | "&amp;INDEX(Auswahl!$H$2:$H$10,1+4)</f>
        <v xml:space="preserve"> 3 | Nah- /Fernwärme (ern.)</v>
      </c>
      <c r="G4" s="44"/>
      <c r="H4" s="40">
        <f>IF(Auswahl!$I$6=TRUE,2,0)</f>
        <v>0</v>
      </c>
      <c r="I4" s="32"/>
      <c r="J4" s="38" t="str">
        <f>" "&amp;INDEX(Auswahl!$G$2:$G$10,1+7)&amp;" | "&amp;INDEX(Auswahl!$H$2:$H$10,1+7)</f>
        <v xml:space="preserve"> 6 | Wärmepumpe (Sole)</v>
      </c>
      <c r="K4" s="44"/>
      <c r="L4" s="156">
        <f>IF(Auswahl!$I$9=TRUE,2,0)</f>
        <v>0</v>
      </c>
      <c r="M4" s="80"/>
      <c r="N4" s="80"/>
      <c r="O4" s="335"/>
      <c r="P4" s="22"/>
      <c r="Q4" s="22"/>
      <c r="R4" s="71"/>
      <c r="S4" s="71"/>
      <c r="T4" s="71"/>
      <c r="U4" s="71"/>
      <c r="V4" s="71"/>
      <c r="W4" s="71"/>
      <c r="X4" s="71"/>
      <c r="Y4" s="71"/>
      <c r="Z4" s="71"/>
      <c r="AA4" s="71"/>
      <c r="AB4" s="22"/>
      <c r="AC4" s="22"/>
      <c r="AD4" s="22"/>
      <c r="AE4" s="22"/>
      <c r="AF4" s="22"/>
      <c r="AG4" s="22"/>
      <c r="AH4" s="22"/>
      <c r="AI4" s="22"/>
      <c r="AJ4" s="22"/>
      <c r="AK4" s="22"/>
      <c r="AL4" s="22"/>
      <c r="AM4" s="22"/>
      <c r="AN4" s="22"/>
      <c r="AO4" s="22"/>
      <c r="AP4" s="22"/>
      <c r="AQ4" s="22"/>
      <c r="AR4" s="22"/>
      <c r="AS4" s="22"/>
      <c r="AT4" s="22"/>
      <c r="AU4" s="22"/>
      <c r="AV4" s="22"/>
      <c r="AW4" s="22"/>
      <c r="AX4" s="22"/>
      <c r="AY4" s="22"/>
    </row>
    <row r="5" spans="1:51" ht="3.75" customHeight="1" x14ac:dyDescent="0.3">
      <c r="A5" s="334"/>
      <c r="B5" s="77"/>
      <c r="C5" s="33"/>
      <c r="D5" s="153"/>
      <c r="E5" s="30"/>
      <c r="F5" s="34"/>
      <c r="G5" s="34"/>
      <c r="H5" s="153"/>
      <c r="I5" s="32"/>
      <c r="J5" s="33"/>
      <c r="K5" s="33"/>
      <c r="L5" s="153"/>
      <c r="M5" s="80"/>
      <c r="N5" s="80"/>
      <c r="O5" s="335"/>
      <c r="P5" s="22"/>
      <c r="Q5" s="22"/>
      <c r="R5" s="71"/>
      <c r="S5" s="71"/>
      <c r="T5" s="71"/>
      <c r="U5" s="71"/>
      <c r="V5" s="71"/>
      <c r="W5" s="71"/>
      <c r="X5" s="71"/>
      <c r="Y5" s="71"/>
      <c r="Z5" s="71"/>
      <c r="AA5" s="71"/>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51" ht="18.75" customHeight="1" x14ac:dyDescent="0.3">
      <c r="A6" s="334"/>
      <c r="B6" s="77"/>
      <c r="C6" s="39" t="str">
        <f>" "&amp;INDEX(Auswahl!$G$2:$G$10,1+2)&amp;" | "&amp;INDEX(Auswahl!$H$2:$H$10,1+2)</f>
        <v xml:space="preserve"> 1 | Bitte wählen…</v>
      </c>
      <c r="D6" s="175">
        <f>IF(Auswahl!$I$4=TRUE,2,0)</f>
        <v>0</v>
      </c>
      <c r="E6" s="30"/>
      <c r="F6" s="38" t="str">
        <f>" "&amp;INDEX(Auswahl!$G$2:$G$10,1+5)&amp;" | "&amp;INDEX(Auswahl!$H$2:$H$10,1+5)</f>
        <v xml:space="preserve"> 4 | Wärmepumpe (Luft)</v>
      </c>
      <c r="G6" s="179"/>
      <c r="H6" s="156">
        <f>IF(Auswahl!$I$7=TRUE,2,0)</f>
        <v>0</v>
      </c>
      <c r="I6" s="32"/>
      <c r="J6" s="38" t="str">
        <f>" "&amp;INDEX(Auswahl!$G$2:$G$10,1+8)&amp;" | "&amp;INDEX(Auswahl!$H$2:$H$10,1+8)</f>
        <v xml:space="preserve"> 7 | Rahmenbedingungen</v>
      </c>
      <c r="K6" s="44"/>
      <c r="L6" s="156">
        <f>IF(Auswahl!$I$10=TRUE,2,0)</f>
        <v>0</v>
      </c>
      <c r="M6" s="80"/>
      <c r="N6" s="80"/>
      <c r="O6" s="335"/>
      <c r="P6" s="22"/>
      <c r="Q6" s="22"/>
      <c r="R6" s="71"/>
      <c r="S6" s="71"/>
      <c r="T6" s="71"/>
      <c r="U6" s="71"/>
      <c r="V6" s="71"/>
      <c r="W6" s="71"/>
      <c r="X6" s="71"/>
      <c r="Y6" s="71"/>
      <c r="Z6" s="71"/>
      <c r="AA6" s="71"/>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6.75" customHeight="1" x14ac:dyDescent="0.3">
      <c r="A7" s="22"/>
      <c r="B7" s="71"/>
      <c r="C7" s="29"/>
      <c r="D7" s="153"/>
      <c r="E7" s="24"/>
      <c r="F7" s="29"/>
      <c r="G7" s="29"/>
      <c r="H7" s="153"/>
      <c r="I7" s="25"/>
      <c r="J7" s="29"/>
      <c r="K7" s="29"/>
      <c r="L7" s="153"/>
      <c r="M7" s="80"/>
      <c r="N7" s="80"/>
      <c r="O7" s="335"/>
      <c r="P7" s="22"/>
      <c r="Q7" s="22"/>
      <c r="R7" s="71"/>
      <c r="S7" s="71"/>
      <c r="T7" s="71"/>
      <c r="U7" s="71"/>
      <c r="V7" s="71"/>
      <c r="W7" s="71"/>
      <c r="X7" s="71"/>
      <c r="Y7" s="71"/>
      <c r="Z7" s="71"/>
      <c r="AA7" s="71"/>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2.75" customHeight="1" x14ac:dyDescent="0.3">
      <c r="A8" s="22"/>
      <c r="B8" s="78"/>
      <c r="C8" s="35"/>
      <c r="D8" s="31"/>
      <c r="E8" s="24"/>
      <c r="F8" s="24"/>
      <c r="G8" s="24"/>
      <c r="H8" s="31"/>
      <c r="I8" s="24"/>
      <c r="J8" s="24"/>
      <c r="K8" s="24"/>
      <c r="L8" s="31"/>
      <c r="M8" s="78"/>
      <c r="N8" s="78"/>
      <c r="O8" s="22"/>
      <c r="P8" s="22"/>
      <c r="Q8" s="22"/>
      <c r="R8" s="71"/>
      <c r="S8" s="71"/>
      <c r="T8" s="71"/>
      <c r="U8" s="71"/>
      <c r="V8" s="71"/>
      <c r="W8" s="71"/>
      <c r="X8" s="71"/>
      <c r="Y8" s="71"/>
      <c r="Z8" s="71"/>
      <c r="AA8" s="71"/>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ht="3.75" customHeight="1" x14ac:dyDescent="0.3">
      <c r="A9" s="22"/>
      <c r="N9" s="71"/>
      <c r="O9" s="22"/>
      <c r="P9" s="22"/>
      <c r="Q9" s="22"/>
      <c r="R9" s="71"/>
      <c r="S9" s="71"/>
      <c r="T9" s="71"/>
      <c r="U9" s="71"/>
      <c r="V9" s="71"/>
      <c r="W9" s="71"/>
      <c r="X9" s="71"/>
      <c r="Y9" s="71"/>
      <c r="Z9" s="71"/>
      <c r="AA9" s="71"/>
      <c r="AB9" s="22"/>
      <c r="AC9" s="22"/>
      <c r="AD9" s="22"/>
      <c r="AE9" s="22"/>
      <c r="AF9" s="22"/>
      <c r="AG9" s="22"/>
      <c r="AH9" s="22"/>
      <c r="AI9" s="22"/>
      <c r="AJ9" s="22"/>
      <c r="AK9" s="22"/>
      <c r="AL9" s="22"/>
      <c r="AM9" s="22"/>
      <c r="AN9" s="22"/>
      <c r="AO9" s="22"/>
      <c r="AP9" s="22"/>
      <c r="AQ9" s="22"/>
      <c r="AR9" s="22"/>
      <c r="AS9" s="22"/>
      <c r="AT9" s="22"/>
      <c r="AU9" s="22"/>
      <c r="AV9" s="22"/>
      <c r="AW9" s="22"/>
      <c r="AX9" s="22"/>
      <c r="AY9" s="22"/>
    </row>
    <row r="10" spans="1:51" ht="20.25" x14ac:dyDescent="0.3">
      <c r="A10" s="277"/>
      <c r="C10" s="46" t="str">
        <f>$A$2&amp;". SYSTEM: "&amp;UPPER(VLOOKUP($A$2,Navigation,2,FALSE))</f>
        <v>1. SYSTEM: BITTE WÄHLEN…</v>
      </c>
      <c r="D10" s="47"/>
      <c r="E10" s="48"/>
      <c r="F10" s="48"/>
      <c r="G10" s="48"/>
      <c r="H10" s="48"/>
      <c r="I10" s="48"/>
      <c r="J10" s="400" t="str">
        <f>IF(Auswahl!$I$4=TRUE,"",UPPER("unvollständig"))</f>
        <v>UNVOLLSTÄNDIG</v>
      </c>
      <c r="K10" s="400"/>
      <c r="L10" s="400"/>
      <c r="M10" s="76"/>
      <c r="N10" s="78"/>
      <c r="O10" s="24"/>
      <c r="P10" s="22"/>
      <c r="Q10" s="22"/>
      <c r="R10" s="71"/>
      <c r="S10" s="71"/>
      <c r="T10" s="71"/>
      <c r="U10" s="101"/>
      <c r="V10" s="71"/>
      <c r="W10" s="71"/>
      <c r="X10" s="102"/>
      <c r="Y10" s="71"/>
      <c r="Z10" s="71"/>
      <c r="AA10" s="71"/>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x14ac:dyDescent="0.3">
      <c r="A11" s="22"/>
      <c r="C11" s="48"/>
      <c r="D11" s="48"/>
      <c r="E11" s="48"/>
      <c r="F11" s="48"/>
      <c r="G11" s="48"/>
      <c r="H11" s="48"/>
      <c r="I11" s="48"/>
      <c r="J11" s="48"/>
      <c r="K11" s="48"/>
      <c r="L11" s="49"/>
      <c r="M11" s="76"/>
      <c r="N11" s="78"/>
      <c r="O11" s="24"/>
      <c r="P11" s="22"/>
      <c r="Q11" s="22"/>
      <c r="R11" s="71"/>
      <c r="S11" s="71"/>
      <c r="T11" s="71"/>
      <c r="U11" s="101"/>
      <c r="V11" s="71"/>
      <c r="W11" s="71"/>
      <c r="X11" s="71"/>
      <c r="Y11" s="71"/>
      <c r="Z11" s="71"/>
      <c r="AA11" s="71"/>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x14ac:dyDescent="0.3">
      <c r="A12" s="190"/>
      <c r="C12" s="47" t="str">
        <f>$A$2&amp;".1 "&amp;UPPER(INDEX(Auswahl!$P$2:$P$6,1))</f>
        <v>1.1 AUSSCHLUSSGRÜNDE</v>
      </c>
      <c r="D12" s="47"/>
      <c r="E12" s="48"/>
      <c r="F12" s="48"/>
      <c r="G12" s="48"/>
      <c r="H12" s="48"/>
      <c r="I12" s="48"/>
      <c r="J12" s="48"/>
      <c r="K12" s="48"/>
      <c r="L12" s="48"/>
      <c r="M12" s="66"/>
      <c r="N12" s="189"/>
      <c r="O12" s="24"/>
      <c r="P12" s="22"/>
      <c r="Q12" s="22"/>
      <c r="R12" s="71"/>
      <c r="S12" s="71"/>
      <c r="T12" s="71"/>
      <c r="U12" s="101"/>
      <c r="V12" s="71"/>
      <c r="W12" s="71"/>
      <c r="X12" s="71"/>
      <c r="Y12" s="71"/>
      <c r="Z12" s="71"/>
      <c r="AA12" s="71"/>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ht="7.5" customHeight="1" x14ac:dyDescent="0.3">
      <c r="A13" s="190"/>
      <c r="C13" s="48"/>
      <c r="D13" s="48"/>
      <c r="E13" s="48"/>
      <c r="F13" s="48"/>
      <c r="G13" s="48"/>
      <c r="H13" s="48"/>
      <c r="I13" s="48"/>
      <c r="J13" s="48"/>
      <c r="K13" s="48"/>
      <c r="L13" s="49"/>
      <c r="M13" s="76"/>
      <c r="N13" s="78"/>
      <c r="O13" s="24"/>
      <c r="P13" s="22"/>
      <c r="Q13" s="22"/>
      <c r="R13" s="71"/>
      <c r="S13" s="71"/>
      <c r="T13" s="71"/>
      <c r="U13" s="71"/>
      <c r="V13" s="71"/>
      <c r="W13" s="71"/>
      <c r="X13" s="71"/>
      <c r="Y13" s="71"/>
      <c r="Z13" s="71"/>
      <c r="AA13" s="71"/>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hidden="1" x14ac:dyDescent="0.3">
      <c r="A14" s="190" t="s">
        <v>156</v>
      </c>
      <c r="C14" s="51" t="s">
        <v>87</v>
      </c>
      <c r="D14" s="48"/>
      <c r="E14" s="48"/>
      <c r="F14" s="48"/>
      <c r="G14" s="48"/>
      <c r="H14" s="48"/>
      <c r="I14" s="48"/>
      <c r="J14" s="48"/>
      <c r="K14" s="48"/>
      <c r="L14" s="49"/>
      <c r="M14" s="76"/>
      <c r="N14" s="78"/>
      <c r="O14" s="30"/>
      <c r="P14" s="22"/>
      <c r="Q14" s="22"/>
      <c r="R14" s="71"/>
      <c r="S14" s="71"/>
      <c r="T14" s="71"/>
      <c r="U14" s="71"/>
      <c r="V14" s="71"/>
      <c r="W14" s="71"/>
      <c r="X14" s="71"/>
      <c r="Y14" s="71"/>
      <c r="Z14" s="71"/>
      <c r="AA14" s="71"/>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1:51" hidden="1" x14ac:dyDescent="0.3">
      <c r="A15" s="190" t="s">
        <v>156</v>
      </c>
      <c r="C15" s="51" t="s">
        <v>88</v>
      </c>
      <c r="D15" s="48"/>
      <c r="E15" s="48"/>
      <c r="F15" s="48"/>
      <c r="G15" s="48"/>
      <c r="H15" s="48"/>
      <c r="I15" s="48"/>
      <c r="J15" s="48"/>
      <c r="K15" s="48"/>
      <c r="L15" s="49"/>
      <c r="M15" s="76"/>
      <c r="N15" s="78"/>
      <c r="O15" s="30"/>
      <c r="P15" s="22"/>
      <c r="Q15" s="187"/>
      <c r="R15" s="71"/>
      <c r="S15" s="71"/>
      <c r="T15" s="71"/>
      <c r="U15" s="71"/>
      <c r="V15" s="71"/>
      <c r="W15" s="71"/>
      <c r="X15" s="71"/>
      <c r="Y15" s="71"/>
      <c r="Z15" s="71"/>
      <c r="AA15" s="71"/>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ht="7.5" hidden="1" customHeight="1" x14ac:dyDescent="0.3">
      <c r="A16" s="190" t="s">
        <v>156</v>
      </c>
      <c r="C16" s="48"/>
      <c r="D16" s="48"/>
      <c r="E16" s="48"/>
      <c r="F16" s="48"/>
      <c r="G16" s="48"/>
      <c r="H16" s="48"/>
      <c r="I16" s="48"/>
      <c r="J16" s="48"/>
      <c r="K16" s="48"/>
      <c r="L16" s="49"/>
      <c r="M16" s="76"/>
      <c r="N16" s="78"/>
      <c r="O16" s="30"/>
      <c r="P16" s="22"/>
      <c r="Q16" s="22"/>
      <c r="R16" s="71"/>
      <c r="S16" s="71"/>
      <c r="T16" s="71"/>
      <c r="U16" s="71"/>
      <c r="V16" s="71"/>
      <c r="W16" s="71"/>
      <c r="X16" s="71"/>
      <c r="Y16" s="71"/>
      <c r="Z16" s="71"/>
      <c r="AA16" s="71"/>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ht="42.75" customHeight="1" x14ac:dyDescent="0.3">
      <c r="A17" s="190"/>
      <c r="C17" s="393" t="str">
        <f>IF(A2=1,TBS_Systeme_4,TBS_Systeme_1&amp;VLOOKUP($A$2,Navigation,2,FALSE)&amp;IF(AND(VLOOKUP($A$2,Navigation,4,FALSE)=FALSE,VLOOKUP($A$2,Navigation,5,FALSE)=FALSE),TBS_Systeme_2,TBS_Systeme_3))</f>
        <v>Das fossile System ist Bestandteil der Einreichung.</v>
      </c>
      <c r="D17" s="393"/>
      <c r="E17" s="393"/>
      <c r="F17" s="393"/>
      <c r="G17" s="393"/>
      <c r="H17" s="393"/>
      <c r="I17" s="393"/>
      <c r="J17" s="393"/>
      <c r="K17" s="393"/>
      <c r="L17" s="393"/>
      <c r="M17" s="76"/>
      <c r="N17" s="78"/>
      <c r="O17" s="267"/>
      <c r="P17" s="54"/>
      <c r="Q17" s="54"/>
      <c r="R17" s="71"/>
      <c r="S17" s="71"/>
      <c r="T17" s="71"/>
      <c r="U17" s="71"/>
      <c r="V17" s="71"/>
      <c r="W17" s="71"/>
      <c r="X17" s="71"/>
      <c r="Y17" s="71"/>
      <c r="Z17" s="71"/>
      <c r="AA17" s="71"/>
      <c r="AB17" s="324" t="s">
        <v>364</v>
      </c>
      <c r="AC17" s="324"/>
      <c r="AD17" s="324"/>
      <c r="AE17" s="324"/>
      <c r="AF17" s="324"/>
      <c r="AG17" s="324"/>
      <c r="AH17" s="324"/>
      <c r="AI17" s="22"/>
      <c r="AJ17" s="22"/>
      <c r="AK17" s="325"/>
      <c r="AL17" s="22"/>
      <c r="AM17" s="22"/>
      <c r="AN17" s="22"/>
      <c r="AO17" s="22"/>
      <c r="AP17" s="22"/>
      <c r="AQ17" s="22"/>
      <c r="AR17" s="22"/>
      <c r="AS17" s="22"/>
      <c r="AT17" s="22"/>
      <c r="AU17" s="22"/>
      <c r="AV17" s="22"/>
      <c r="AW17" s="22"/>
      <c r="AX17" s="22"/>
      <c r="AY17" s="22"/>
    </row>
    <row r="18" spans="1:51" ht="16.5" customHeight="1" x14ac:dyDescent="0.3">
      <c r="A18" s="22"/>
      <c r="B18" s="75"/>
      <c r="C18" s="425" t="str">
        <f>IF(INDEX(Status_Systeme,$A$2)=TRUE,"",$A$2&amp;".2 "&amp;UPPER(INDEX(Auswahl!$P$2:$P$6,2)))</f>
        <v>1.2 INVESTITIONSKOSTEN</v>
      </c>
      <c r="D18" s="425"/>
      <c r="E18" s="425"/>
      <c r="F18" s="425"/>
      <c r="G18" s="410" t="str">
        <f>IF(INDEX(Status_Systeme,$A$2)=TRUE,"","Invest-Kosten¹"&amp;CHAR(10)&amp;"[€]")</f>
        <v>Invest-Kosten¹
[€]</v>
      </c>
      <c r="H18" s="410"/>
      <c r="I18" s="410"/>
      <c r="J18" s="410" t="str">
        <f>IF(INDEX(Status_Systeme,$A$2)=TRUE,"","Nutzung"&amp;CHAR(10)&amp;"t [a]")</f>
        <v>Nutzung
t [a]</v>
      </c>
      <c r="K18" s="408" t="str">
        <f>IF(INDEX(Status_Systeme,$A$2)=TRUE,"","Gesamtkosten"&amp;CHAR(2)&amp;CHAR(10)&amp;"nach "&amp;Basis_Betrachtungszeitraum&amp;"a [€]"&amp;CHAR(2))</f>
        <v>Gesamtkosten_x0002_
nach 20a [€]_x0002_</v>
      </c>
      <c r="L18" s="408"/>
      <c r="M18" s="76"/>
      <c r="N18" s="78"/>
      <c r="O18" s="266"/>
      <c r="P18" s="22"/>
      <c r="Q18" s="22"/>
      <c r="R18" s="71"/>
      <c r="S18" s="70" t="s">
        <v>211</v>
      </c>
      <c r="T18" s="404" t="s">
        <v>4</v>
      </c>
      <c r="U18" s="404"/>
      <c r="V18" s="404"/>
      <c r="W18" s="404"/>
      <c r="X18" s="404" t="s">
        <v>2</v>
      </c>
      <c r="Y18" s="404"/>
      <c r="Z18" s="70" t="s">
        <v>355</v>
      </c>
      <c r="AA18" s="71"/>
      <c r="AB18" s="70" t="s">
        <v>356</v>
      </c>
      <c r="AC18" s="404" t="s">
        <v>4</v>
      </c>
      <c r="AD18" s="404"/>
      <c r="AE18" s="404"/>
      <c r="AF18" s="404"/>
      <c r="AG18" s="404" t="s">
        <v>2</v>
      </c>
      <c r="AH18" s="404"/>
      <c r="AI18" s="70" t="s">
        <v>355</v>
      </c>
      <c r="AJ18" s="70"/>
      <c r="AK18" s="70"/>
      <c r="AL18" s="70"/>
      <c r="AM18" s="70"/>
      <c r="AN18" s="70"/>
      <c r="AO18" s="22"/>
      <c r="AP18" s="22"/>
      <c r="AQ18" s="22"/>
      <c r="AR18" s="22"/>
      <c r="AS18" s="22"/>
      <c r="AT18" s="22"/>
      <c r="AU18" s="22"/>
      <c r="AV18" s="22"/>
      <c r="AW18" s="22"/>
      <c r="AX18" s="22"/>
      <c r="AY18" s="22"/>
    </row>
    <row r="19" spans="1:51" ht="21" customHeight="1" x14ac:dyDescent="0.3">
      <c r="A19" s="22"/>
      <c r="B19" s="75"/>
      <c r="C19" s="426" t="str">
        <f>IF(INDEX(Status_Systeme,$A$2)=TRUE,"","A | ANLAGENTEILE")</f>
        <v>A | ANLAGENTEILE</v>
      </c>
      <c r="D19" s="426"/>
      <c r="E19" s="426"/>
      <c r="F19" s="426"/>
      <c r="G19" s="411"/>
      <c r="H19" s="411"/>
      <c r="I19" s="411"/>
      <c r="J19" s="411"/>
      <c r="K19" s="409"/>
      <c r="L19" s="409"/>
      <c r="M19" s="76"/>
      <c r="N19" s="78"/>
      <c r="O19" s="30"/>
      <c r="P19" s="22"/>
      <c r="Q19" s="22"/>
      <c r="R19" s="71"/>
      <c r="S19" s="71"/>
      <c r="T19" s="70" t="s">
        <v>361</v>
      </c>
      <c r="U19" s="70" t="s">
        <v>359</v>
      </c>
      <c r="V19" s="70" t="s">
        <v>360</v>
      </c>
      <c r="W19" s="70" t="s">
        <v>358</v>
      </c>
      <c r="X19" s="70" t="s">
        <v>362</v>
      </c>
      <c r="Y19" s="70" t="s">
        <v>358</v>
      </c>
      <c r="Z19" s="70" t="s">
        <v>358</v>
      </c>
      <c r="AA19" s="71"/>
      <c r="AB19" s="70" t="s">
        <v>365</v>
      </c>
      <c r="AC19" s="70" t="s">
        <v>361</v>
      </c>
      <c r="AD19" s="70" t="s">
        <v>359</v>
      </c>
      <c r="AE19" s="70" t="s">
        <v>360</v>
      </c>
      <c r="AF19" s="70" t="s">
        <v>358</v>
      </c>
      <c r="AG19" s="70" t="s">
        <v>362</v>
      </c>
      <c r="AH19" s="70" t="s">
        <v>358</v>
      </c>
      <c r="AI19" s="70" t="s">
        <v>358</v>
      </c>
      <c r="AJ19" s="70"/>
      <c r="AK19" s="70"/>
      <c r="AL19" s="70"/>
      <c r="AM19" s="70"/>
      <c r="AN19" s="70"/>
      <c r="AO19" s="22"/>
      <c r="AP19" s="324"/>
      <c r="AQ19" s="324"/>
      <c r="AR19" s="324"/>
      <c r="AS19" s="22"/>
      <c r="AT19" s="22"/>
      <c r="AU19" s="22"/>
      <c r="AV19" s="22"/>
      <c r="AW19" s="22"/>
      <c r="AX19" s="22"/>
      <c r="AY19" s="22"/>
    </row>
    <row r="20" spans="1:51" ht="16.5" customHeight="1" x14ac:dyDescent="0.3">
      <c r="A20" s="22"/>
      <c r="B20" s="184" t="str">
        <f>IF(O20="","","!")</f>
        <v>!</v>
      </c>
      <c r="C20" s="81" t="str">
        <f>IF(INDEX(Status_Systeme,$A$2)=TRUE,"",IF(Basis_WW_dezentral=TRUE,Tabellen!AT5,Tabellen!AT4))</f>
        <v>Warmwasserbereitung</v>
      </c>
      <c r="D20" s="81"/>
      <c r="E20" s="81"/>
      <c r="F20" s="333" t="str">
        <f>IF(AB20=FALSE,"","BESTAND")</f>
        <v/>
      </c>
      <c r="G20" s="406"/>
      <c r="H20" s="406"/>
      <c r="I20" s="406"/>
      <c r="J20" s="60">
        <f>IF(C20="","",VLOOKUP(C20,Tabelle_Kosten_Komponenten,2,FALSE))</f>
        <v>30</v>
      </c>
      <c r="K20" s="405" t="str">
        <f>IF(OR(C20="",G20="",J20=""),"",IF(AB20=FALSE,Z20+W20-Y20,AI20+AF20-AH20))</f>
        <v/>
      </c>
      <c r="L20" s="405"/>
      <c r="M20" s="76"/>
      <c r="N20" s="178" t="str">
        <f>IF(O20="","","ï")</f>
        <v>ï</v>
      </c>
      <c r="O20" s="268" t="str">
        <f>IF(S20=TRUE,"",IF(LEN(C20)&gt;0,IF(G20="",TBS_Fehler_2,""),IF(G20="","",TBS_Fehler_3)))</f>
        <v>Bitte dieses Feld (roter Bereich = Pflichtfeld) ausfüllen!</v>
      </c>
      <c r="P20" s="272"/>
      <c r="Q20" s="22"/>
      <c r="R20" s="71"/>
      <c r="S20" s="72" t="b">
        <f>ISERROR(FIND("optional",C20))=FALSE</f>
        <v>0</v>
      </c>
      <c r="T20" s="72">
        <f>IF((Basis_Betrachtungszeitraum/J20)&lt;=1,0,IF((Basis_Betrachtungszeitraum/J20)&lt;=2,1,2))</f>
        <v>0</v>
      </c>
      <c r="U20" s="326">
        <f>IF(T20&lt;1,0,G20*IF($A$2=1,1,(1-Basis_Foerderung))*(1+Basis_Preisentwicklung_Produkte)^J20)</f>
        <v>0</v>
      </c>
      <c r="V20" s="326">
        <f>IF(T20&gt;1,G20*IF($A$2=1,1,(1-Basis_Foerderung))*(1+Basis_Preisentwicklung_Produkte)^(2*J20),0)</f>
        <v>0</v>
      </c>
      <c r="W20" s="326">
        <f>U20*(1/(1+Basis_Realzins))^J20+V20*(1/(1+Basis_Realzins))^(2*J20)</f>
        <v>0</v>
      </c>
      <c r="X20" s="73">
        <f>IF((INT(Basis_Betrachtungszeitraum/J20)=Basis_Betrachtungszeitraum/J20),1,(J20*(T20+1)-Basis_Betrachtungszeitraum)/J20)</f>
        <v>0.33333333333333331</v>
      </c>
      <c r="Y20" s="326">
        <f>IF(X20=1,0,IF(T20=0,G20*IF($A$2=1,1,(1-Basis_Foerderung)),INDEX(U20:V20,1,T20))*Basis_Diskontsatz*X20)</f>
        <v>0</v>
      </c>
      <c r="Z20" s="326">
        <f>G20*IF($A$2=1,1,(1-Basis_Foerderung))</f>
        <v>0</v>
      </c>
      <c r="AA20" s="71"/>
      <c r="AB20" s="72" t="b">
        <f>IF(OR(BestandRH_Select&lt;3,(Jahr_Betrachtung-Jahr_Kessel)&gt;=J20,J20=""),FALSE,Jahr_Betrachtung-Jahr_Kessel)</f>
        <v>0</v>
      </c>
      <c r="AC20" s="72">
        <f>IF((-AB20+J20)&gt;=Basis_Betrachtungszeitraum,0,IF((-AB20+2*J20)&lt;Basis_Betrachtungszeitraum,2,1))</f>
        <v>0</v>
      </c>
      <c r="AD20" s="326">
        <f>IF(AC20&lt;1,0,G20*(1+Basis_Preisentwicklung_Produkte)^(-AB20+J20))</f>
        <v>0</v>
      </c>
      <c r="AE20" s="326">
        <f>IF(AC20&gt;1,G20*(1+Basis_Preisentwicklung_Produkte)^(-AB20+2*J20),0)</f>
        <v>0</v>
      </c>
      <c r="AF20" s="326">
        <f>AD20*(1/(1+Basis_Realzins))^(-AB20+J20)+AE20*(1/(1+Basis_Realzins))^(-AB20+2*J20)</f>
        <v>0</v>
      </c>
      <c r="AG20" s="73">
        <f>(-AB20+(AC20+1)*J20-Basis_Betrachtungszeitraum)/J20</f>
        <v>0.33333333333333331</v>
      </c>
      <c r="AH20" s="326">
        <f t="shared" ref="AH20" si="0">IF(AG20=1,0,IF(AC20=0,P20*IF($A$2=1,1,(1-Basis_Foerderung)),INDEX(AD20:AE20,1,AC20))*Basis_Diskontsatz*AG20)</f>
        <v>0</v>
      </c>
      <c r="AI20" s="326">
        <f>G20*((1/(1+Basis_Realzins))^(AB20))*(AB20)/J20</f>
        <v>0</v>
      </c>
      <c r="AJ20" s="70"/>
      <c r="AK20" s="70"/>
      <c r="AL20" s="70"/>
      <c r="AM20" s="70"/>
      <c r="AN20" s="70"/>
      <c r="AO20" s="22"/>
      <c r="AP20" s="22"/>
      <c r="AQ20" s="22"/>
      <c r="AR20" s="22"/>
      <c r="AS20" s="22"/>
      <c r="AT20" s="22"/>
      <c r="AU20" s="22"/>
      <c r="AV20" s="22"/>
      <c r="AW20" s="22"/>
      <c r="AX20" s="22"/>
      <c r="AY20" s="22"/>
    </row>
    <row r="21" spans="1:51" x14ac:dyDescent="0.3">
      <c r="A21" s="22"/>
      <c r="B21" s="184" t="str">
        <f>IF(O21="","","!")</f>
        <v/>
      </c>
      <c r="C21" s="81" t="str">
        <f>IF(INDEX(Status_Systeme,$A$2)=TRUE,"",IF(INDEX(Tabelle_Komponenten,1,EA_RH_System_Select)="","",INDEX(Tabelle_Komponenten,1,EA_RH_System_Select)))</f>
        <v/>
      </c>
      <c r="D21" s="81"/>
      <c r="E21" s="81"/>
      <c r="F21" s="333" t="str">
        <f>IF(AB21=FALSE,"","BESTAND")</f>
        <v/>
      </c>
      <c r="G21" s="406"/>
      <c r="H21" s="406"/>
      <c r="I21" s="406"/>
      <c r="J21" s="60" t="str">
        <f>IF(C21="","",VLOOKUP(C21,Tabelle_Kosten_Komponenten,2,FALSE))</f>
        <v/>
      </c>
      <c r="K21" s="405" t="str">
        <f>IF(OR(C21="",G21="",J21=""),"",IF(AB21=FALSE,Z21+W21-Y21,AI21+AF21-AH21))</f>
        <v/>
      </c>
      <c r="L21" s="405"/>
      <c r="M21" s="76"/>
      <c r="N21" s="178" t="str">
        <f>IF(O21="","","ï")</f>
        <v/>
      </c>
      <c r="O21" s="268" t="str">
        <f>IF(S21=TRUE,"",IF(LEN(C21)&gt;0,IF(G21="",TBS_Fehler_2,""),IF(G21="","",TBS_Fehler_3)))</f>
        <v/>
      </c>
      <c r="P21" s="22"/>
      <c r="Q21" s="22"/>
      <c r="R21" s="71"/>
      <c r="S21" s="72" t="b">
        <f>ISERROR(FIND("optional",C21))=FALSE</f>
        <v>0</v>
      </c>
      <c r="T21" s="72" t="e">
        <f t="shared" ref="T21:T23" si="1">IF((Basis_Betrachtungszeitraum/J21)&lt;=1,0,IF((Basis_Betrachtungszeitraum/J21)&lt;=2,1,2))</f>
        <v>#VALUE!</v>
      </c>
      <c r="U21" s="326" t="e">
        <f t="shared" ref="U21:U23" si="2">IF(T21&lt;1,0,G21*IF($A$2=1,1,(1-Basis_Foerderung))*(1+Basis_Preisentwicklung_Produkte)^J21)</f>
        <v>#VALUE!</v>
      </c>
      <c r="V21" s="326" t="e">
        <f t="shared" ref="V21:V23" si="3">IF(T21&gt;1,G21*IF($A$2=1,1,(1-Basis_Foerderung))*(1+Basis_Preisentwicklung_Produkte)^(2*J21),0)</f>
        <v>#VALUE!</v>
      </c>
      <c r="W21" s="326" t="e">
        <f t="shared" ref="W21:W23" si="4">U21*(1/(1+Basis_Realzins))^J21+V21*(1/(1+Basis_Realzins))^(2*J21)</f>
        <v>#VALUE!</v>
      </c>
      <c r="X21" s="73" t="e">
        <f t="shared" ref="X21:X23" si="5">IF((INT(Basis_Betrachtungszeitraum/J21)=Basis_Betrachtungszeitraum/J21),1,(J21*(T21+1)-Basis_Betrachtungszeitraum)/J21)</f>
        <v>#VALUE!</v>
      </c>
      <c r="Y21" s="326" t="e">
        <f t="shared" ref="Y21:Y23" si="6">IF(X21=1,0,IF(T21=0,G21*IF($A$2=1,1,(1-Basis_Foerderung)),INDEX(U21:V21,1,T21))*Basis_Diskontsatz*X21)</f>
        <v>#VALUE!</v>
      </c>
      <c r="Z21" s="326">
        <f t="shared" ref="Z21:Z23" si="7">G21*IF($A$2=1,1,(1-Basis_Foerderung))</f>
        <v>0</v>
      </c>
      <c r="AA21" s="71"/>
      <c r="AB21" s="72" t="b">
        <f>IF(OR(BestandRH_Select&lt;3,(Jahr_Betrachtung-Jahr_Kessel)&gt;=J21,J21=""),FALSE,Jahr_Betrachtung-Jahr_Kessel)</f>
        <v>0</v>
      </c>
      <c r="AC21" s="72" t="e">
        <f>IF((-AB21+J21)&gt;=Basis_Betrachtungszeitraum,0,IF((-AB21+2*J21)&lt;Basis_Betrachtungszeitraum,2,1))</f>
        <v>#VALUE!</v>
      </c>
      <c r="AD21" s="326" t="e">
        <f>IF(AC21&lt;1,0,G21*(1+Basis_Preisentwicklung_Produkte)^(-AB21+J21))</f>
        <v>#VALUE!</v>
      </c>
      <c r="AE21" s="326" t="e">
        <f>IF(AC21&gt;1,G21*(1+Basis_Preisentwicklung_Produkte)^(-AB21+2*J21),0)</f>
        <v>#VALUE!</v>
      </c>
      <c r="AF21" s="326" t="e">
        <f>AD21*(1/(1+Basis_Realzins))^(-AB21+J21)+AE21*(1/(1+Basis_Realzins))^(-AB21+2*J21)</f>
        <v>#VALUE!</v>
      </c>
      <c r="AG21" s="73" t="e">
        <f>(-AB21+(AC21+1)*J21-Basis_Betrachtungszeitraum)/J21</f>
        <v>#VALUE!</v>
      </c>
      <c r="AH21" s="326" t="e">
        <f t="shared" ref="AH21" si="8">IF(AG21=1,0,IF(AC21=0,P21*IF($A$2=1,1,(1-Basis_Foerderung)),INDEX(AD21:AE21,1,AC21))*Basis_Diskontsatz*AG21)</f>
        <v>#VALUE!</v>
      </c>
      <c r="AI21" s="326" t="e">
        <f>G21*((1/(1+Basis_Realzins))^(AB21))*(AB21)/J21</f>
        <v>#VALUE!</v>
      </c>
      <c r="AJ21" s="70"/>
      <c r="AK21" s="70"/>
      <c r="AL21" s="70"/>
      <c r="AM21" s="70"/>
      <c r="AN21" s="70"/>
      <c r="AO21" s="22"/>
      <c r="AP21" s="22"/>
      <c r="AQ21" s="22"/>
      <c r="AR21" s="22"/>
      <c r="AS21" s="22"/>
      <c r="AT21" s="22"/>
      <c r="AU21" s="22"/>
      <c r="AV21" s="22"/>
      <c r="AW21" s="22"/>
      <c r="AX21" s="22"/>
      <c r="AY21" s="22"/>
    </row>
    <row r="22" spans="1:51" x14ac:dyDescent="0.3">
      <c r="A22" s="22"/>
      <c r="B22" s="184" t="str">
        <f>IF(O22="","","!")</f>
        <v/>
      </c>
      <c r="C22" s="81" t="str">
        <f>IF(INDEX(Status_Systeme,$A$2)=TRUE,"",IF(INDEX(Tabelle_Komponenten,2,EA_RH_System_Select)="","",INDEX(Tabelle_Komponenten,2,EA_RH_System_Select)))</f>
        <v/>
      </c>
      <c r="D22" s="81"/>
      <c r="E22" s="81"/>
      <c r="F22" s="333" t="str">
        <f>IF(AB22=FALSE,"","BESTAND")</f>
        <v/>
      </c>
      <c r="G22" s="406"/>
      <c r="H22" s="406"/>
      <c r="I22" s="406"/>
      <c r="J22" s="58" t="str">
        <f>IF(C22="","",VLOOKUP(C22,Tabelle_Kosten_Komponenten,2,FALSE))</f>
        <v/>
      </c>
      <c r="K22" s="405" t="str">
        <f>IF(OR(C22="",G22="",J22=""),"",IF(AB22=FALSE,Z22+W22-Y22,AI22+AF22-AH22))</f>
        <v/>
      </c>
      <c r="L22" s="405"/>
      <c r="M22" s="76"/>
      <c r="N22" s="178" t="str">
        <f>IF(O22="","","ï")</f>
        <v/>
      </c>
      <c r="O22" s="268" t="str">
        <f>IF(S22=TRUE,"",IF(LEN(C22)&gt;0,IF(G22="",TBS_Fehler_2,""),IF(G22="","",TBS_Fehler_3)))</f>
        <v/>
      </c>
      <c r="P22" s="22"/>
      <c r="Q22" s="22"/>
      <c r="R22" s="71"/>
      <c r="S22" s="72" t="b">
        <f>ISERROR(FIND("optional",C22))=FALSE</f>
        <v>0</v>
      </c>
      <c r="T22" s="72" t="e">
        <f t="shared" si="1"/>
        <v>#VALUE!</v>
      </c>
      <c r="U22" s="326" t="e">
        <f t="shared" si="2"/>
        <v>#VALUE!</v>
      </c>
      <c r="V22" s="326" t="e">
        <f t="shared" si="3"/>
        <v>#VALUE!</v>
      </c>
      <c r="W22" s="326" t="e">
        <f t="shared" si="4"/>
        <v>#VALUE!</v>
      </c>
      <c r="X22" s="73" t="e">
        <f t="shared" si="5"/>
        <v>#VALUE!</v>
      </c>
      <c r="Y22" s="326" t="e">
        <f t="shared" si="6"/>
        <v>#VALUE!</v>
      </c>
      <c r="Z22" s="326">
        <f t="shared" si="7"/>
        <v>0</v>
      </c>
      <c r="AA22" s="71"/>
      <c r="AB22" s="72" t="b">
        <f>IF(OR(BestandRH_Select&lt;3,(Jahr_Betrachtung-Jahr_Kessel)&gt;=J22,J22=""),FALSE,Jahr_Betrachtung-Jahr_Kessel)</f>
        <v>0</v>
      </c>
      <c r="AC22" s="72" t="e">
        <f>IF((-AB22+J22)&gt;=Basis_Betrachtungszeitraum,0,IF((-AB22+2*J22)&lt;Basis_Betrachtungszeitraum,2,1))</f>
        <v>#VALUE!</v>
      </c>
      <c r="AD22" s="326" t="e">
        <f>IF(AC22&lt;1,0,G22*(1+Basis_Preisentwicklung_Produkte)^(-AB22+J22))</f>
        <v>#VALUE!</v>
      </c>
      <c r="AE22" s="326" t="e">
        <f>IF(AC22&gt;1,G22*(1+Basis_Preisentwicklung_Produkte)^(-AB22+2*J22),0)</f>
        <v>#VALUE!</v>
      </c>
      <c r="AF22" s="326" t="e">
        <f>AD22*(1/(1+Basis_Realzins))^(-AB22+J22)+AE22*(1/(1+Basis_Realzins))^(-AB22+2*J22)</f>
        <v>#VALUE!</v>
      </c>
      <c r="AG22" s="73" t="e">
        <f>(-AB22+(AC22+1)*J22-Basis_Betrachtungszeitraum)/J22</f>
        <v>#VALUE!</v>
      </c>
      <c r="AH22" s="326" t="e">
        <f t="shared" ref="AH22:AH24" si="9">IF(AG22=1,0,IF(AC22=0,P22*IF($A$2=1,1,(1-Basis_Foerderung)),INDEX(AD22:AE22,1,AC22))*Basis_Diskontsatz*AG22)</f>
        <v>#VALUE!</v>
      </c>
      <c r="AI22" s="326" t="e">
        <f>G22*((1/(1+Basis_Realzins))^(AB22))*(AB22)/J22</f>
        <v>#VALUE!</v>
      </c>
      <c r="AJ22" s="70"/>
      <c r="AK22" s="70"/>
      <c r="AL22" s="70"/>
      <c r="AM22" s="70"/>
      <c r="AN22" s="70"/>
      <c r="AO22" s="22"/>
      <c r="AP22" s="22"/>
      <c r="AQ22" s="22"/>
      <c r="AR22" s="22"/>
      <c r="AS22" s="22"/>
      <c r="AT22" s="22"/>
      <c r="AU22" s="22"/>
      <c r="AV22" s="22"/>
      <c r="AW22" s="22"/>
      <c r="AX22" s="22"/>
      <c r="AY22" s="22"/>
    </row>
    <row r="23" spans="1:51" x14ac:dyDescent="0.3">
      <c r="A23" s="22"/>
      <c r="B23" s="184" t="str">
        <f>IF(O23="","","!")</f>
        <v/>
      </c>
      <c r="C23" s="248" t="str">
        <f>IF(INDEX(Status_Systeme,$A$2)=TRUE,"",IF(INDEX(Tabelle_Komponenten,3,EA_RH_System_Select)="","",INDEX(Tabelle_Komponenten,3,EA_RH_System_Select)))</f>
        <v/>
      </c>
      <c r="D23" s="248"/>
      <c r="E23" s="248"/>
      <c r="F23" s="333" t="str">
        <f>IF(AB23=FALSE,"","BESTAND")</f>
        <v/>
      </c>
      <c r="G23" s="407"/>
      <c r="H23" s="407"/>
      <c r="I23" s="407"/>
      <c r="J23" s="58" t="str">
        <f>IF(C23="","",VLOOKUP(C23,Tabelle_Kosten_Komponenten,2,FALSE))</f>
        <v/>
      </c>
      <c r="K23" s="405" t="str">
        <f>IF(OR(C23="",G23="",J23=""),"",IF(AB23=FALSE,Z23+W23-Y23,AI23+AF23-AH23))</f>
        <v/>
      </c>
      <c r="L23" s="405"/>
      <c r="M23" s="76"/>
      <c r="N23" s="178" t="str">
        <f>IF(O23="","","ï")</f>
        <v/>
      </c>
      <c r="O23" s="268" t="str">
        <f>IF(S23=TRUE,"",IF(LEN(C23)&gt;0,IF(G23="",TBS_Fehler_2,""),IF(G23="","",TBS_Fehler_3)))</f>
        <v/>
      </c>
      <c r="P23" s="22"/>
      <c r="Q23" s="22"/>
      <c r="R23" s="71"/>
      <c r="S23" s="72" t="b">
        <f>ISERROR(FIND("optional",C23))=FALSE</f>
        <v>0</v>
      </c>
      <c r="T23" s="72" t="e">
        <f t="shared" si="1"/>
        <v>#VALUE!</v>
      </c>
      <c r="U23" s="326" t="e">
        <f t="shared" si="2"/>
        <v>#VALUE!</v>
      </c>
      <c r="V23" s="326" t="e">
        <f t="shared" si="3"/>
        <v>#VALUE!</v>
      </c>
      <c r="W23" s="326" t="e">
        <f t="shared" si="4"/>
        <v>#VALUE!</v>
      </c>
      <c r="X23" s="73" t="e">
        <f t="shared" si="5"/>
        <v>#VALUE!</v>
      </c>
      <c r="Y23" s="326" t="e">
        <f t="shared" si="6"/>
        <v>#VALUE!</v>
      </c>
      <c r="Z23" s="326">
        <f t="shared" si="7"/>
        <v>0</v>
      </c>
      <c r="AA23" s="71"/>
      <c r="AB23" s="72" t="b">
        <f>IF(OR(BestandRH_Select&lt;3,(Jahr_Betrachtung-Jahr_Kessel)&gt;=J23,J23=""),FALSE,Jahr_Betrachtung-Jahr_Kessel)</f>
        <v>0</v>
      </c>
      <c r="AC23" s="72" t="e">
        <f>IF((-AB23+J23)&gt;=Basis_Betrachtungszeitraum,0,IF((-AB23+2*J23)&lt;Basis_Betrachtungszeitraum,2,1))</f>
        <v>#VALUE!</v>
      </c>
      <c r="AD23" s="326" t="e">
        <f>IF(AC23&lt;1,0,G23*(1+Basis_Preisentwicklung_Produkte)^(-AB23+J23))</f>
        <v>#VALUE!</v>
      </c>
      <c r="AE23" s="326" t="e">
        <f>IF(AC23&gt;1,G23*(1+Basis_Preisentwicklung_Produkte)^(-AB23+2*J23),0)</f>
        <v>#VALUE!</v>
      </c>
      <c r="AF23" s="326" t="e">
        <f>AD23*(1/(1+Basis_Realzins))^(-AB23+J23)+AE23*(1/(1+Basis_Realzins))^(-AB23+2*J23)</f>
        <v>#VALUE!</v>
      </c>
      <c r="AG23" s="73" t="e">
        <f>(-AB23+(AC23+1)*J23-Basis_Betrachtungszeitraum)/J23</f>
        <v>#VALUE!</v>
      </c>
      <c r="AH23" s="326" t="e">
        <f t="shared" si="9"/>
        <v>#VALUE!</v>
      </c>
      <c r="AI23" s="326" t="e">
        <f>G23*((1/(1+Basis_Realzins))^(AB23))*(AB23)/J23</f>
        <v>#VALUE!</v>
      </c>
      <c r="AJ23" s="70"/>
      <c r="AK23" s="70"/>
      <c r="AL23" s="70"/>
      <c r="AM23" s="70"/>
      <c r="AN23" s="70"/>
      <c r="AO23" s="22"/>
      <c r="AP23" s="22"/>
      <c r="AQ23" s="22"/>
      <c r="AR23" s="22"/>
      <c r="AS23" s="22"/>
      <c r="AT23" s="22"/>
      <c r="AU23" s="22"/>
      <c r="AV23" s="22"/>
      <c r="AW23" s="22"/>
      <c r="AX23" s="22"/>
      <c r="AY23" s="22"/>
    </row>
    <row r="24" spans="1:51" x14ac:dyDescent="0.3">
      <c r="A24" s="22"/>
      <c r="B24" s="184" t="str">
        <f>IF(O24="","","!")</f>
        <v/>
      </c>
      <c r="C24" s="248" t="str">
        <f>IF(OR(EA_TSA_Status=TRUE,EA_PV_Status=TRUE),"Kosten für Solaranlage (thermisch/PV) komplett","")</f>
        <v/>
      </c>
      <c r="D24" s="248"/>
      <c r="E24" s="248"/>
      <c r="F24" s="333" t="str">
        <f>IF(AB24=FALSE,"","BESTAND")</f>
        <v/>
      </c>
      <c r="G24" s="407"/>
      <c r="H24" s="407"/>
      <c r="I24" s="407"/>
      <c r="J24" s="58" t="str">
        <f>IF(C24="","",VLOOKUP(C24,Tabelle_Kosten_Komponenten,2,FALSE))</f>
        <v/>
      </c>
      <c r="K24" s="405" t="str">
        <f>IF(OR(C24="",G24="",J24=""),"",IF(AB24=FALSE,Z24+W24-Y24,AI24+AF24-AH24))</f>
        <v/>
      </c>
      <c r="L24" s="405"/>
      <c r="M24" s="76"/>
      <c r="N24" s="178" t="str">
        <f>IF(O24="","","ï")</f>
        <v/>
      </c>
      <c r="O24" s="268" t="str">
        <f>IF(S24=TRUE,"",IF(LEN(C24)&gt;0,IF(G24="",TBS_Fehler_2,""),IF(G24="","",TBS_Fehler_3)))</f>
        <v/>
      </c>
      <c r="P24" s="22"/>
      <c r="Q24" s="22"/>
      <c r="R24" s="71"/>
      <c r="S24" s="72" t="b">
        <f>ISERROR(FIND("optional",C24))=FALSE</f>
        <v>0</v>
      </c>
      <c r="T24" s="72" t="e">
        <f>IF((Basis_Betrachtungszeitraum/J24)&lt;=1,0,IF((Basis_Betrachtungszeitraum/J24)&lt;=2,1,2))</f>
        <v>#VALUE!</v>
      </c>
      <c r="U24" s="326" t="e">
        <f>IF(T24&lt;1,0,G24*IF($A$2=1,1,(1-Basis_Foerderung))*(1+Basis_Preisentwicklung_Produkte)^J24)</f>
        <v>#VALUE!</v>
      </c>
      <c r="V24" s="326" t="e">
        <f>IF(T24&gt;1,G24*IF($A$2=1,1,(1-Basis_Foerderung))*(1+Basis_Preisentwicklung_Produkte)^(2*J24),0)</f>
        <v>#VALUE!</v>
      </c>
      <c r="W24" s="326" t="e">
        <f>U24*(1/(1+Basis_Realzins))^J24+V24*(1/(1+Basis_Realzins))^(2*J24)</f>
        <v>#VALUE!</v>
      </c>
      <c r="X24" s="73" t="e">
        <f>IF((INT(Basis_Betrachtungszeitraum/J24)=Basis_Betrachtungszeitraum/J24),1,(J24*(T24+1)-Basis_Betrachtungszeitraum)/J24)</f>
        <v>#VALUE!</v>
      </c>
      <c r="Y24" s="326" t="e">
        <f>IF(X24=1,0,IF(T24=0,G24*IF($A$2=1,1,(1-Basis_Foerderung)),INDEX(U24:V24,1,T24))*Basis_Diskontsatz*X24)</f>
        <v>#VALUE!</v>
      </c>
      <c r="Z24" s="326">
        <f>G24*IF($A$2=1,1,(1-Basis_Foerderung))</f>
        <v>0</v>
      </c>
      <c r="AA24" s="71"/>
      <c r="AB24" s="72" t="b">
        <f>IF(OR(BestandRH_Select&lt;3,(Jahr_Betrachtung-Jahr_Kessel)&gt;=J24,J24=""),FALSE,Jahr_Betrachtung-Jahr_Kessel)</f>
        <v>0</v>
      </c>
      <c r="AC24" s="72" t="e">
        <f>IF((-AB24+J24)&gt;=Basis_Betrachtungszeitraum,0,IF((-AB24+2*J24)&lt;Basis_Betrachtungszeitraum,2,1))</f>
        <v>#VALUE!</v>
      </c>
      <c r="AD24" s="326" t="e">
        <f>IF(AC24&lt;1,0,G24*(1+Basis_Preisentwicklung_Produkte)^(-AB24+J24))</f>
        <v>#VALUE!</v>
      </c>
      <c r="AE24" s="326" t="e">
        <f>IF(AC24&gt;1,G24*(1+Basis_Preisentwicklung_Produkte)^(-AB24+2*J24),0)</f>
        <v>#VALUE!</v>
      </c>
      <c r="AF24" s="326" t="e">
        <f>AD24*(1/(1+Basis_Realzins))^(-AB24+J24)+AE24*(1/(1+Basis_Realzins))^(-AB24+2*J24)</f>
        <v>#VALUE!</v>
      </c>
      <c r="AG24" s="73" t="e">
        <f>(-AB24+(AC24+1)*J24-Basis_Betrachtungszeitraum)/J24</f>
        <v>#VALUE!</v>
      </c>
      <c r="AH24" s="326" t="e">
        <f t="shared" si="9"/>
        <v>#VALUE!</v>
      </c>
      <c r="AI24" s="326" t="e">
        <f>G24*((1/(1+Basis_Realzins))^(AB24))*(AB24)/J24</f>
        <v>#VALUE!</v>
      </c>
      <c r="AJ24" s="70"/>
      <c r="AK24" s="70"/>
      <c r="AL24" s="70"/>
      <c r="AM24" s="70"/>
      <c r="AN24" s="70"/>
      <c r="AO24" s="22"/>
      <c r="AP24" s="22"/>
      <c r="AQ24" s="22"/>
      <c r="AR24" s="22"/>
      <c r="AS24" s="22"/>
      <c r="AT24" s="22"/>
      <c r="AU24" s="22"/>
      <c r="AV24" s="22"/>
      <c r="AW24" s="22"/>
      <c r="AX24" s="22"/>
      <c r="AY24" s="22"/>
    </row>
    <row r="25" spans="1:51" ht="21" customHeight="1" x14ac:dyDescent="0.3">
      <c r="A25" s="22"/>
      <c r="B25" s="75"/>
      <c r="C25" s="242" t="str">
        <f>IF(INDEX(Status_Systeme,$A$2)=TRUE,"","B | BAULICHE MASSNAHMEN")</f>
        <v>B | BAULICHE MASSNAHMEN</v>
      </c>
      <c r="D25" s="188"/>
      <c r="E25" s="188"/>
      <c r="F25" s="188"/>
      <c r="G25" s="161"/>
      <c r="H25" s="161"/>
      <c r="I25" s="161"/>
      <c r="J25" s="188"/>
      <c r="K25" s="188"/>
      <c r="L25" s="188"/>
      <c r="M25" s="76"/>
      <c r="N25" s="78"/>
      <c r="O25" s="268"/>
      <c r="P25" s="64"/>
      <c r="Q25" s="22"/>
      <c r="R25" s="71"/>
      <c r="S25" s="71"/>
      <c r="T25" s="22"/>
      <c r="U25" s="22"/>
      <c r="V25" s="22"/>
      <c r="W25" s="22"/>
      <c r="X25" s="22"/>
      <c r="Y25" s="22"/>
      <c r="Z25" s="22"/>
      <c r="AA25" s="71"/>
      <c r="AB25" s="71"/>
      <c r="AC25" s="71"/>
      <c r="AD25" s="71"/>
      <c r="AE25" s="71"/>
      <c r="AF25" s="71"/>
      <c r="AG25" s="71"/>
      <c r="AH25" s="71"/>
      <c r="AI25" s="22"/>
      <c r="AJ25" s="70"/>
      <c r="AK25" s="70"/>
      <c r="AL25" s="70"/>
      <c r="AM25" s="70"/>
      <c r="AN25" s="70"/>
      <c r="AO25" s="22"/>
      <c r="AP25" s="22"/>
      <c r="AQ25" s="22"/>
      <c r="AR25" s="22"/>
      <c r="AS25" s="22"/>
      <c r="AT25" s="22"/>
      <c r="AU25" s="22"/>
      <c r="AV25" s="22"/>
      <c r="AW25" s="22"/>
      <c r="AX25" s="22"/>
      <c r="AY25" s="22"/>
    </row>
    <row r="26" spans="1:51" x14ac:dyDescent="0.3">
      <c r="A26" s="22"/>
      <c r="B26" s="184" t="str">
        <f t="shared" ref="B26:B32" si="10">IF(O26="","","!")</f>
        <v/>
      </c>
      <c r="C26" s="81" t="str">
        <f>IF(INDEX(Status_Systeme,$A$2)=TRUE,"",IF(INDEX(Tabelle_Komponenten,8,EA_RH_System_Select)="","",INDEX(Tabelle_Komponenten,8,EA_RH_System_Select)))</f>
        <v/>
      </c>
      <c r="D26" s="81"/>
      <c r="E26" s="81"/>
      <c r="F26" s="333" t="str">
        <f t="shared" ref="F26:F32" si="11">IF(AB26=FALSE,"","BESTAND")</f>
        <v/>
      </c>
      <c r="G26" s="406"/>
      <c r="H26" s="406"/>
      <c r="I26" s="406"/>
      <c r="J26" s="60" t="str">
        <f t="shared" ref="J26:J32" si="12">IF(C26="","",VLOOKUP(C26,Tabelle_Kosten_Komponenten,2,FALSE))</f>
        <v/>
      </c>
      <c r="K26" s="405" t="str">
        <f t="shared" ref="K26:K32" si="13">IF(OR(C26="",G26="",J26=""),"",IF(AB26=FALSE,Z26+W26-Y26,AI26+AF26-AH26))</f>
        <v/>
      </c>
      <c r="L26" s="405"/>
      <c r="M26" s="76"/>
      <c r="N26" s="178" t="str">
        <f t="shared" ref="N26:N32" si="14">IF(O26="","","ï")</f>
        <v/>
      </c>
      <c r="O26" s="268" t="str">
        <f t="shared" ref="O26:O32" si="15">IF(S26=TRUE,"",IF(LEN(C26)&gt;0,IF(G26="",TBS_Fehler_2,""),IF(G26="","",TBS_Fehler_3)))</f>
        <v/>
      </c>
      <c r="P26" s="272"/>
      <c r="Q26" s="22"/>
      <c r="R26" s="71"/>
      <c r="S26" s="72" t="b">
        <f>ISERROR(FIND("optional",C26))=FALSE</f>
        <v>0</v>
      </c>
      <c r="T26" s="72" t="e">
        <f t="shared" ref="T26:T28" si="16">IF((Basis_Betrachtungszeitraum/J26)&lt;=1,0,IF((Basis_Betrachtungszeitraum/J26)&lt;=2,1,2))</f>
        <v>#VALUE!</v>
      </c>
      <c r="U26" s="326" t="e">
        <f t="shared" ref="U26:U28" si="17">IF(T26&lt;1,0,G26*IF($A$2=1,1,(1-Basis_Foerderung))*(1+Basis_Preisentwicklung_Produkte)^J26)</f>
        <v>#VALUE!</v>
      </c>
      <c r="V26" s="326" t="e">
        <f t="shared" ref="V26:V28" si="18">IF(T26&gt;1,G26*IF($A$2=1,1,(1-Basis_Foerderung))*(1+Basis_Preisentwicklung_Produkte)^(2*J26),0)</f>
        <v>#VALUE!</v>
      </c>
      <c r="W26" s="326" t="e">
        <f t="shared" ref="W26:W28" si="19">U26*(1/(1+Basis_Realzins))^J26+V26*(1/(1+Basis_Realzins))^(2*J26)</f>
        <v>#VALUE!</v>
      </c>
      <c r="X26" s="73" t="e">
        <f t="shared" ref="X26:X28" si="20">IF((INT(Basis_Betrachtungszeitraum/J26)=Basis_Betrachtungszeitraum/J26),1,(J26*(T26+1)-Basis_Betrachtungszeitraum)/J26)</f>
        <v>#VALUE!</v>
      </c>
      <c r="Y26" s="326" t="e">
        <f t="shared" ref="Y26:Y28" si="21">IF(X26=1,0,IF(T26=0,G26*IF($A$2=1,1,(1-Basis_Foerderung)),INDEX(U26:V26,1,T26))*Basis_Diskontsatz*X26)</f>
        <v>#VALUE!</v>
      </c>
      <c r="Z26" s="326">
        <f t="shared" ref="Z26:Z28" si="22">G26*IF($A$2=1,1,(1-Basis_Foerderung))</f>
        <v>0</v>
      </c>
      <c r="AA26" s="71"/>
      <c r="AB26" s="72" t="b">
        <f t="shared" ref="AB26:AB32" si="23">IF(OR(BestandRH_Select&lt;3,(Jahr_Betrachtung-Jahr_Kessel)&gt;=J26,J26=""),FALSE,Jahr_Betrachtung-Jahr_Kessel)</f>
        <v>0</v>
      </c>
      <c r="AC26" s="72" t="e">
        <f t="shared" ref="AC26:AC32" si="24">IF((-AB26+J26)&gt;=Basis_Betrachtungszeitraum,0,IF((-AB26+2*J26)&lt;Basis_Betrachtungszeitraum,2,1))</f>
        <v>#VALUE!</v>
      </c>
      <c r="AD26" s="326" t="e">
        <f t="shared" ref="AD26:AD32" si="25">IF(AC26&lt;1,0,G26*(1+Basis_Preisentwicklung_Produkte)^(-AB26+J26))</f>
        <v>#VALUE!</v>
      </c>
      <c r="AE26" s="326" t="e">
        <f t="shared" ref="AE26:AE32" si="26">IF(AC26&gt;1,G26*(1+Basis_Preisentwicklung_Produkte)^(-AB26+2*J26),0)</f>
        <v>#VALUE!</v>
      </c>
      <c r="AF26" s="326" t="e">
        <f t="shared" ref="AF26:AF32" si="27">AD26*(1/(1+Basis_Realzins))^(-AB26+J26)+AE26*(1/(1+Basis_Realzins))^(-AB26+2*J26)</f>
        <v>#VALUE!</v>
      </c>
      <c r="AG26" s="73" t="e">
        <f t="shared" ref="AG26:AG32" si="28">(-AB26+(AC26+1)*J26-Basis_Betrachtungszeitraum)/J26</f>
        <v>#VALUE!</v>
      </c>
      <c r="AH26" s="326" t="e">
        <f t="shared" ref="AH26" si="29">IF(AG26=1,0,IF(AC26=0,P26*IF($A$2=1,1,(1-Basis_Foerderung)),INDEX(AD26:AE26,1,AC26))*Basis_Diskontsatz*AG26)</f>
        <v>#VALUE!</v>
      </c>
      <c r="AI26" s="326" t="e">
        <f t="shared" ref="AI26:AI32" si="30">G26*((1/(1+Basis_Realzins))^(AB26))*(AB26)/J26</f>
        <v>#VALUE!</v>
      </c>
      <c r="AJ26" s="70"/>
      <c r="AK26" s="70"/>
      <c r="AL26" s="70"/>
      <c r="AM26" s="70"/>
      <c r="AN26" s="70"/>
      <c r="AO26" s="22"/>
      <c r="AP26" s="22"/>
      <c r="AQ26" s="22"/>
      <c r="AR26" s="22"/>
      <c r="AS26" s="22"/>
      <c r="AT26" s="22"/>
      <c r="AU26" s="22"/>
      <c r="AV26" s="22"/>
      <c r="AW26" s="22"/>
      <c r="AX26" s="22"/>
      <c r="AY26" s="22"/>
    </row>
    <row r="27" spans="1:51" x14ac:dyDescent="0.3">
      <c r="A27" s="22"/>
      <c r="B27" s="184" t="str">
        <f t="shared" si="10"/>
        <v/>
      </c>
      <c r="C27" s="248" t="str">
        <f>IF(INDEX(Status_Systeme,$A$2)=TRUE,"",IF(INDEX(Tabelle_Komponenten,9,EA_RH_System_Select)="","",INDEX(Tabelle_Komponenten,9,EA_RH_System_Select)))</f>
        <v/>
      </c>
      <c r="D27" s="248"/>
      <c r="E27" s="248"/>
      <c r="F27" s="333" t="str">
        <f t="shared" si="11"/>
        <v/>
      </c>
      <c r="G27" s="406"/>
      <c r="H27" s="406"/>
      <c r="I27" s="406"/>
      <c r="J27" s="60" t="str">
        <f t="shared" si="12"/>
        <v/>
      </c>
      <c r="K27" s="405" t="str">
        <f t="shared" si="13"/>
        <v/>
      </c>
      <c r="L27" s="405"/>
      <c r="M27" s="76"/>
      <c r="N27" s="178" t="str">
        <f t="shared" si="14"/>
        <v/>
      </c>
      <c r="O27" s="268" t="str">
        <f t="shared" si="15"/>
        <v/>
      </c>
      <c r="P27" s="65"/>
      <c r="Q27" s="22"/>
      <c r="R27" s="71"/>
      <c r="S27" s="72" t="b">
        <f>ISERROR(FIND("optional",C27))=FALSE</f>
        <v>0</v>
      </c>
      <c r="T27" s="72" t="e">
        <f t="shared" si="16"/>
        <v>#VALUE!</v>
      </c>
      <c r="U27" s="326" t="e">
        <f t="shared" si="17"/>
        <v>#VALUE!</v>
      </c>
      <c r="V27" s="326" t="e">
        <f t="shared" si="18"/>
        <v>#VALUE!</v>
      </c>
      <c r="W27" s="326" t="e">
        <f t="shared" si="19"/>
        <v>#VALUE!</v>
      </c>
      <c r="X27" s="73" t="e">
        <f t="shared" si="20"/>
        <v>#VALUE!</v>
      </c>
      <c r="Y27" s="326" t="e">
        <f t="shared" si="21"/>
        <v>#VALUE!</v>
      </c>
      <c r="Z27" s="326">
        <f t="shared" si="22"/>
        <v>0</v>
      </c>
      <c r="AA27" s="71"/>
      <c r="AB27" s="72" t="b">
        <f t="shared" si="23"/>
        <v>0</v>
      </c>
      <c r="AC27" s="72" t="e">
        <f t="shared" si="24"/>
        <v>#VALUE!</v>
      </c>
      <c r="AD27" s="326" t="e">
        <f t="shared" si="25"/>
        <v>#VALUE!</v>
      </c>
      <c r="AE27" s="326" t="e">
        <f t="shared" si="26"/>
        <v>#VALUE!</v>
      </c>
      <c r="AF27" s="326" t="e">
        <f t="shared" si="27"/>
        <v>#VALUE!</v>
      </c>
      <c r="AG27" s="73" t="e">
        <f t="shared" si="28"/>
        <v>#VALUE!</v>
      </c>
      <c r="AH27" s="326" t="e">
        <f t="shared" ref="AH27:AH32" si="31">IF(AG27=1,0,IF(AC27=0,P27*IF($A$2=1,1,(1-Basis_Foerderung)),INDEX(AD27:AE27,1,AC27))*Basis_Diskontsatz*AG27)</f>
        <v>#VALUE!</v>
      </c>
      <c r="AI27" s="326" t="e">
        <f t="shared" si="30"/>
        <v>#VALUE!</v>
      </c>
      <c r="AJ27" s="70"/>
      <c r="AK27" s="70"/>
      <c r="AL27" s="70"/>
      <c r="AM27" s="70"/>
      <c r="AN27" s="70"/>
      <c r="AO27" s="22"/>
      <c r="AP27" s="22"/>
      <c r="AQ27" s="22"/>
      <c r="AR27" s="22"/>
      <c r="AS27" s="22"/>
      <c r="AT27" s="22"/>
      <c r="AU27" s="22"/>
      <c r="AV27" s="22"/>
      <c r="AW27" s="22"/>
      <c r="AX27" s="22"/>
      <c r="AY27" s="22"/>
    </row>
    <row r="28" spans="1:51" x14ac:dyDescent="0.3">
      <c r="A28" s="22"/>
      <c r="B28" s="184" t="str">
        <f t="shared" si="10"/>
        <v/>
      </c>
      <c r="C28" s="248" t="str">
        <f>IF(INDEX(Status_Systeme,$A$2)=TRUE,"",IF(INDEX(Tabelle_Komponenten,10,EA_RH_System_Select)="","",INDEX(Tabelle_Komponenten,10,EA_RH_System_Select)))</f>
        <v/>
      </c>
      <c r="D28" s="248"/>
      <c r="E28" s="248"/>
      <c r="F28" s="333" t="str">
        <f t="shared" si="11"/>
        <v/>
      </c>
      <c r="G28" s="406"/>
      <c r="H28" s="406"/>
      <c r="I28" s="406"/>
      <c r="J28" s="60" t="str">
        <f t="shared" si="12"/>
        <v/>
      </c>
      <c r="K28" s="405" t="str">
        <f t="shared" si="13"/>
        <v/>
      </c>
      <c r="L28" s="405"/>
      <c r="M28" s="76"/>
      <c r="N28" s="178" t="str">
        <f t="shared" si="14"/>
        <v/>
      </c>
      <c r="O28" s="268" t="str">
        <f t="shared" si="15"/>
        <v/>
      </c>
      <c r="P28" s="22"/>
      <c r="Q28" s="22"/>
      <c r="R28" s="71"/>
      <c r="S28" s="72" t="b">
        <f>ISERROR(FIND("optional",C28))=FALSE</f>
        <v>0</v>
      </c>
      <c r="T28" s="72" t="e">
        <f t="shared" si="16"/>
        <v>#VALUE!</v>
      </c>
      <c r="U28" s="326" t="e">
        <f t="shared" si="17"/>
        <v>#VALUE!</v>
      </c>
      <c r="V28" s="326" t="e">
        <f t="shared" si="18"/>
        <v>#VALUE!</v>
      </c>
      <c r="W28" s="326" t="e">
        <f t="shared" si="19"/>
        <v>#VALUE!</v>
      </c>
      <c r="X28" s="73" t="e">
        <f t="shared" si="20"/>
        <v>#VALUE!</v>
      </c>
      <c r="Y28" s="326" t="e">
        <f t="shared" si="21"/>
        <v>#VALUE!</v>
      </c>
      <c r="Z28" s="326">
        <f t="shared" si="22"/>
        <v>0</v>
      </c>
      <c r="AA28" s="71"/>
      <c r="AB28" s="72" t="b">
        <f t="shared" si="23"/>
        <v>0</v>
      </c>
      <c r="AC28" s="72" t="e">
        <f t="shared" si="24"/>
        <v>#VALUE!</v>
      </c>
      <c r="AD28" s="326" t="e">
        <f t="shared" si="25"/>
        <v>#VALUE!</v>
      </c>
      <c r="AE28" s="326" t="e">
        <f t="shared" si="26"/>
        <v>#VALUE!</v>
      </c>
      <c r="AF28" s="326" t="e">
        <f t="shared" si="27"/>
        <v>#VALUE!</v>
      </c>
      <c r="AG28" s="73" t="e">
        <f t="shared" si="28"/>
        <v>#VALUE!</v>
      </c>
      <c r="AH28" s="326" t="e">
        <f t="shared" si="31"/>
        <v>#VALUE!</v>
      </c>
      <c r="AI28" s="326" t="e">
        <f t="shared" si="30"/>
        <v>#VALUE!</v>
      </c>
      <c r="AJ28" s="70"/>
      <c r="AK28" s="70"/>
      <c r="AL28" s="70"/>
      <c r="AM28" s="70"/>
      <c r="AN28" s="70"/>
      <c r="AO28" s="22"/>
      <c r="AP28" s="22"/>
      <c r="AQ28" s="22"/>
      <c r="AR28" s="22"/>
      <c r="AS28" s="22"/>
      <c r="AT28" s="22"/>
      <c r="AU28" s="22"/>
      <c r="AV28" s="22"/>
      <c r="AW28" s="22"/>
      <c r="AX28" s="22"/>
      <c r="AY28" s="22"/>
    </row>
    <row r="29" spans="1:51" x14ac:dyDescent="0.3">
      <c r="A29" s="22"/>
      <c r="B29" s="184" t="str">
        <f t="shared" si="10"/>
        <v/>
      </c>
      <c r="C29" s="248" t="str">
        <f>IF(INDEX(Status_Systeme,$A$2)=TRUE,"",IF(INDEX(Tabelle_Komponenten,11,EA_RH_System_Select)="","",INDEX(Tabelle_Komponenten,11,EA_RH_System_Select)))</f>
        <v/>
      </c>
      <c r="D29" s="248"/>
      <c r="E29" s="248"/>
      <c r="F29" s="333" t="str">
        <f t="shared" si="11"/>
        <v/>
      </c>
      <c r="G29" s="406"/>
      <c r="H29" s="406"/>
      <c r="I29" s="406"/>
      <c r="J29" s="60" t="str">
        <f t="shared" si="12"/>
        <v/>
      </c>
      <c r="K29" s="405" t="str">
        <f t="shared" si="13"/>
        <v/>
      </c>
      <c r="L29" s="405"/>
      <c r="M29" s="76"/>
      <c r="N29" s="178" t="str">
        <f t="shared" si="14"/>
        <v/>
      </c>
      <c r="O29" s="268" t="str">
        <f t="shared" si="15"/>
        <v/>
      </c>
      <c r="P29" s="22"/>
      <c r="Q29" s="22"/>
      <c r="R29" s="71"/>
      <c r="S29" s="72" t="b">
        <f>ISERROR(FIND("optional",C29))=FALSE</f>
        <v>0</v>
      </c>
      <c r="T29" s="72" t="e">
        <f t="shared" ref="T29:T32" si="32">IF((Basis_Betrachtungszeitraum/J29)&lt;=1,0,IF((Basis_Betrachtungszeitraum/J29)&lt;=2,1,2))</f>
        <v>#VALUE!</v>
      </c>
      <c r="U29" s="326" t="e">
        <f t="shared" ref="U29:U32" si="33">IF(T29&lt;1,0,G29*IF($A$2=1,1,(1-Basis_Foerderung))*(1+Basis_Preisentwicklung_Produkte)^J29)</f>
        <v>#VALUE!</v>
      </c>
      <c r="V29" s="326" t="e">
        <f t="shared" ref="V29:V32" si="34">IF(T29&gt;1,G29*IF($A$2=1,1,(1-Basis_Foerderung))*(1+Basis_Preisentwicklung_Produkte)^(2*J29),0)</f>
        <v>#VALUE!</v>
      </c>
      <c r="W29" s="326" t="e">
        <f t="shared" ref="W29:W32" si="35">U29*(1/(1+Basis_Realzins))^J29+V29*(1/(1+Basis_Realzins))^(2*J29)</f>
        <v>#VALUE!</v>
      </c>
      <c r="X29" s="73" t="e">
        <f t="shared" ref="X29:X32" si="36">IF((INT(Basis_Betrachtungszeitraum/J29)=Basis_Betrachtungszeitraum/J29),1,(J29*(T29+1)-Basis_Betrachtungszeitraum)/J29)</f>
        <v>#VALUE!</v>
      </c>
      <c r="Y29" s="326" t="e">
        <f t="shared" ref="Y29:Y32" si="37">IF(X29=1,0,IF(T29=0,G29*IF($A$2=1,1,(1-Basis_Foerderung)),INDEX(U29:V29,1,T29))*Basis_Diskontsatz*X29)</f>
        <v>#VALUE!</v>
      </c>
      <c r="Z29" s="326">
        <f t="shared" ref="Z29:Z32" si="38">G29*IF($A$2=1,1,(1-Basis_Foerderung))</f>
        <v>0</v>
      </c>
      <c r="AA29" s="71"/>
      <c r="AB29" s="72" t="b">
        <f t="shared" si="23"/>
        <v>0</v>
      </c>
      <c r="AC29" s="72" t="e">
        <f t="shared" si="24"/>
        <v>#VALUE!</v>
      </c>
      <c r="AD29" s="326" t="e">
        <f t="shared" si="25"/>
        <v>#VALUE!</v>
      </c>
      <c r="AE29" s="326" t="e">
        <f t="shared" si="26"/>
        <v>#VALUE!</v>
      </c>
      <c r="AF29" s="326" t="e">
        <f t="shared" si="27"/>
        <v>#VALUE!</v>
      </c>
      <c r="AG29" s="73" t="e">
        <f t="shared" si="28"/>
        <v>#VALUE!</v>
      </c>
      <c r="AH29" s="326" t="e">
        <f t="shared" si="31"/>
        <v>#VALUE!</v>
      </c>
      <c r="AI29" s="326" t="e">
        <f t="shared" si="30"/>
        <v>#VALUE!</v>
      </c>
      <c r="AJ29" s="70"/>
      <c r="AK29" s="70"/>
      <c r="AL29" s="70"/>
      <c r="AM29" s="70"/>
      <c r="AN29" s="70"/>
      <c r="AO29" s="22"/>
      <c r="AP29" s="22"/>
      <c r="AQ29" s="22"/>
      <c r="AR29" s="22"/>
      <c r="AS29" s="22"/>
      <c r="AT29" s="22"/>
      <c r="AU29" s="22"/>
      <c r="AV29" s="22"/>
      <c r="AW29" s="22"/>
      <c r="AX29" s="22"/>
      <c r="AY29" s="22"/>
    </row>
    <row r="30" spans="1:51" x14ac:dyDescent="0.3">
      <c r="A30" s="22"/>
      <c r="B30" s="184" t="str">
        <f t="shared" si="10"/>
        <v/>
      </c>
      <c r="C30" s="248" t="str">
        <f>IF(INDEX(Status_Systeme,$A$2)=TRUE,"",IF(INDEX(Tabelle_Komponenten,12,EA_RH_System_Select)="","",INDEX(Tabelle_Komponenten,12,EA_RH_System_Select)))</f>
        <v/>
      </c>
      <c r="D30" s="248"/>
      <c r="E30" s="248"/>
      <c r="F30" s="333" t="str">
        <f t="shared" si="11"/>
        <v/>
      </c>
      <c r="G30" s="406"/>
      <c r="H30" s="406"/>
      <c r="I30" s="406"/>
      <c r="J30" s="60" t="str">
        <f t="shared" si="12"/>
        <v/>
      </c>
      <c r="K30" s="405" t="str">
        <f t="shared" si="13"/>
        <v/>
      </c>
      <c r="L30" s="405"/>
      <c r="M30" s="76"/>
      <c r="N30" s="178" t="str">
        <f t="shared" si="14"/>
        <v/>
      </c>
      <c r="O30" s="268" t="str">
        <f t="shared" si="15"/>
        <v/>
      </c>
      <c r="P30" s="22"/>
      <c r="Q30" s="22"/>
      <c r="R30" s="71"/>
      <c r="S30" s="72" t="b">
        <f>ISERROR(FIND("optional",C30))=FALSE</f>
        <v>0</v>
      </c>
      <c r="T30" s="72" t="e">
        <f t="shared" si="32"/>
        <v>#VALUE!</v>
      </c>
      <c r="U30" s="326" t="e">
        <f t="shared" si="33"/>
        <v>#VALUE!</v>
      </c>
      <c r="V30" s="326" t="e">
        <f t="shared" si="34"/>
        <v>#VALUE!</v>
      </c>
      <c r="W30" s="326" t="e">
        <f t="shared" si="35"/>
        <v>#VALUE!</v>
      </c>
      <c r="X30" s="73" t="e">
        <f t="shared" si="36"/>
        <v>#VALUE!</v>
      </c>
      <c r="Y30" s="326" t="e">
        <f t="shared" si="37"/>
        <v>#VALUE!</v>
      </c>
      <c r="Z30" s="326">
        <f t="shared" si="38"/>
        <v>0</v>
      </c>
      <c r="AA30" s="71"/>
      <c r="AB30" s="72" t="b">
        <f t="shared" si="23"/>
        <v>0</v>
      </c>
      <c r="AC30" s="72" t="e">
        <f t="shared" si="24"/>
        <v>#VALUE!</v>
      </c>
      <c r="AD30" s="326" t="e">
        <f t="shared" si="25"/>
        <v>#VALUE!</v>
      </c>
      <c r="AE30" s="326" t="e">
        <f t="shared" si="26"/>
        <v>#VALUE!</v>
      </c>
      <c r="AF30" s="326" t="e">
        <f t="shared" si="27"/>
        <v>#VALUE!</v>
      </c>
      <c r="AG30" s="73" t="e">
        <f t="shared" si="28"/>
        <v>#VALUE!</v>
      </c>
      <c r="AH30" s="326" t="e">
        <f t="shared" si="31"/>
        <v>#VALUE!</v>
      </c>
      <c r="AI30" s="326" t="e">
        <f t="shared" si="30"/>
        <v>#VALUE!</v>
      </c>
      <c r="AJ30" s="70"/>
      <c r="AK30" s="70"/>
      <c r="AL30" s="70"/>
      <c r="AM30" s="70"/>
      <c r="AN30" s="70"/>
      <c r="AO30" s="22"/>
      <c r="AP30" s="22"/>
      <c r="AQ30" s="22"/>
      <c r="AR30" s="22"/>
      <c r="AS30" s="22"/>
      <c r="AT30" s="22"/>
      <c r="AU30" s="22"/>
      <c r="AV30" s="22"/>
      <c r="AW30" s="22"/>
      <c r="AX30" s="22"/>
      <c r="AY30" s="22"/>
    </row>
    <row r="31" spans="1:51" x14ac:dyDescent="0.3">
      <c r="A31" s="22"/>
      <c r="B31" s="184" t="str">
        <f t="shared" si="10"/>
        <v/>
      </c>
      <c r="C31" s="248" t="str">
        <f>IF(INDEX(Status_Systeme,$A$2)=TRUE,"",IF(INDEX(Tabelle_Komponenten,5,EA_RH_System_Select)="","",INDEX(Tabelle_Komponenten,5,EA_RH_System_Select)))</f>
        <v/>
      </c>
      <c r="D31" s="248"/>
      <c r="E31" s="248"/>
      <c r="F31" s="333" t="str">
        <f t="shared" si="11"/>
        <v/>
      </c>
      <c r="G31" s="406"/>
      <c r="H31" s="406"/>
      <c r="I31" s="406"/>
      <c r="J31" s="60" t="str">
        <f t="shared" si="12"/>
        <v/>
      </c>
      <c r="K31" s="405" t="str">
        <f t="shared" si="13"/>
        <v/>
      </c>
      <c r="L31" s="405"/>
      <c r="M31" s="76"/>
      <c r="N31" s="178" t="str">
        <f t="shared" si="14"/>
        <v/>
      </c>
      <c r="O31" s="268" t="str">
        <f t="shared" si="15"/>
        <v/>
      </c>
      <c r="P31" s="22"/>
      <c r="Q31" s="22"/>
      <c r="R31" s="71"/>
      <c r="S31" s="72" t="b">
        <f t="shared" ref="S31:S32" si="39">ISERROR(FIND("optional",C31))=FALSE</f>
        <v>0</v>
      </c>
      <c r="T31" s="72" t="e">
        <f t="shared" si="32"/>
        <v>#VALUE!</v>
      </c>
      <c r="U31" s="326" t="e">
        <f t="shared" si="33"/>
        <v>#VALUE!</v>
      </c>
      <c r="V31" s="326" t="e">
        <f t="shared" si="34"/>
        <v>#VALUE!</v>
      </c>
      <c r="W31" s="326" t="e">
        <f t="shared" si="35"/>
        <v>#VALUE!</v>
      </c>
      <c r="X31" s="73" t="e">
        <f t="shared" si="36"/>
        <v>#VALUE!</v>
      </c>
      <c r="Y31" s="326" t="e">
        <f t="shared" si="37"/>
        <v>#VALUE!</v>
      </c>
      <c r="Z31" s="326">
        <f t="shared" si="38"/>
        <v>0</v>
      </c>
      <c r="AA31" s="71"/>
      <c r="AB31" s="72" t="b">
        <f t="shared" si="23"/>
        <v>0</v>
      </c>
      <c r="AC31" s="72" t="e">
        <f t="shared" si="24"/>
        <v>#VALUE!</v>
      </c>
      <c r="AD31" s="326" t="e">
        <f t="shared" si="25"/>
        <v>#VALUE!</v>
      </c>
      <c r="AE31" s="326" t="e">
        <f t="shared" si="26"/>
        <v>#VALUE!</v>
      </c>
      <c r="AF31" s="326" t="e">
        <f t="shared" si="27"/>
        <v>#VALUE!</v>
      </c>
      <c r="AG31" s="73" t="e">
        <f t="shared" si="28"/>
        <v>#VALUE!</v>
      </c>
      <c r="AH31" s="326" t="e">
        <f t="shared" si="31"/>
        <v>#VALUE!</v>
      </c>
      <c r="AI31" s="326" t="e">
        <f t="shared" si="30"/>
        <v>#VALUE!</v>
      </c>
      <c r="AJ31" s="70"/>
      <c r="AK31" s="70"/>
      <c r="AL31" s="70"/>
      <c r="AM31" s="70"/>
      <c r="AN31" s="70"/>
      <c r="AO31" s="22"/>
      <c r="AP31" s="22"/>
      <c r="AQ31" s="22"/>
      <c r="AR31" s="22"/>
      <c r="AS31" s="22"/>
      <c r="AT31" s="22"/>
      <c r="AU31" s="22"/>
      <c r="AV31" s="22"/>
      <c r="AW31" s="22"/>
      <c r="AX31" s="22"/>
      <c r="AY31" s="22"/>
    </row>
    <row r="32" spans="1:51" x14ac:dyDescent="0.3">
      <c r="A32" s="22"/>
      <c r="B32" s="184" t="str">
        <f t="shared" si="10"/>
        <v/>
      </c>
      <c r="C32" s="248" t="str">
        <f>IF(INDEX(Status_Systeme,$A$2)=TRUE,"",IF(INDEX(Tabelle_Komponenten,6,EA_RH_System_Select)="","",INDEX(Tabelle_Komponenten,6,EA_RH_System_Select)))</f>
        <v/>
      </c>
      <c r="D32" s="248"/>
      <c r="E32" s="248"/>
      <c r="F32" s="333" t="str">
        <f t="shared" si="11"/>
        <v/>
      </c>
      <c r="G32" s="406"/>
      <c r="H32" s="406"/>
      <c r="I32" s="406"/>
      <c r="J32" s="60" t="str">
        <f t="shared" si="12"/>
        <v/>
      </c>
      <c r="K32" s="405" t="str">
        <f t="shared" si="13"/>
        <v/>
      </c>
      <c r="L32" s="405"/>
      <c r="M32" s="76"/>
      <c r="N32" s="178" t="str">
        <f t="shared" si="14"/>
        <v/>
      </c>
      <c r="O32" s="268" t="str">
        <f t="shared" si="15"/>
        <v/>
      </c>
      <c r="P32" s="22"/>
      <c r="Q32" s="22"/>
      <c r="R32" s="71"/>
      <c r="S32" s="72" t="b">
        <f t="shared" si="39"/>
        <v>0</v>
      </c>
      <c r="T32" s="72" t="e">
        <f t="shared" si="32"/>
        <v>#VALUE!</v>
      </c>
      <c r="U32" s="326" t="e">
        <f t="shared" si="33"/>
        <v>#VALUE!</v>
      </c>
      <c r="V32" s="326" t="e">
        <f t="shared" si="34"/>
        <v>#VALUE!</v>
      </c>
      <c r="W32" s="326" t="e">
        <f t="shared" si="35"/>
        <v>#VALUE!</v>
      </c>
      <c r="X32" s="73" t="e">
        <f t="shared" si="36"/>
        <v>#VALUE!</v>
      </c>
      <c r="Y32" s="326" t="e">
        <f t="shared" si="37"/>
        <v>#VALUE!</v>
      </c>
      <c r="Z32" s="326">
        <f t="shared" si="38"/>
        <v>0</v>
      </c>
      <c r="AA32" s="71"/>
      <c r="AB32" s="72" t="b">
        <f t="shared" si="23"/>
        <v>0</v>
      </c>
      <c r="AC32" s="72" t="e">
        <f t="shared" si="24"/>
        <v>#VALUE!</v>
      </c>
      <c r="AD32" s="326" t="e">
        <f t="shared" si="25"/>
        <v>#VALUE!</v>
      </c>
      <c r="AE32" s="326" t="e">
        <f t="shared" si="26"/>
        <v>#VALUE!</v>
      </c>
      <c r="AF32" s="326" t="e">
        <f t="shared" si="27"/>
        <v>#VALUE!</v>
      </c>
      <c r="AG32" s="73" t="e">
        <f t="shared" si="28"/>
        <v>#VALUE!</v>
      </c>
      <c r="AH32" s="326" t="e">
        <f t="shared" si="31"/>
        <v>#VALUE!</v>
      </c>
      <c r="AI32" s="326" t="e">
        <f t="shared" si="30"/>
        <v>#VALUE!</v>
      </c>
      <c r="AJ32" s="70"/>
      <c r="AK32" s="70"/>
      <c r="AL32" s="70"/>
      <c r="AM32" s="70"/>
      <c r="AN32" s="70"/>
      <c r="AO32" s="22"/>
      <c r="AP32" s="22"/>
      <c r="AQ32" s="22"/>
      <c r="AR32" s="22"/>
      <c r="AS32" s="22"/>
      <c r="AT32" s="22"/>
      <c r="AU32" s="22"/>
      <c r="AV32" s="22"/>
      <c r="AW32" s="22"/>
      <c r="AX32" s="22"/>
      <c r="AY32" s="22"/>
    </row>
    <row r="33" spans="1:51" ht="21" customHeight="1" x14ac:dyDescent="0.3">
      <c r="A33" s="22"/>
      <c r="B33" s="75"/>
      <c r="C33" s="242" t="str">
        <f>IF(INDEX(Status_Systeme,$A$2)=TRUE,"","C | FREIE EINGABE")</f>
        <v>C | FREIE EINGABE</v>
      </c>
      <c r="D33" s="188"/>
      <c r="E33" s="188"/>
      <c r="F33" s="188"/>
      <c r="G33" s="161"/>
      <c r="H33" s="161"/>
      <c r="I33" s="161"/>
      <c r="J33" s="188"/>
      <c r="K33" s="188"/>
      <c r="L33" s="188"/>
      <c r="M33" s="76"/>
      <c r="N33" s="78"/>
      <c r="O33" s="30"/>
      <c r="P33" s="22"/>
      <c r="Q33" s="22"/>
      <c r="R33" s="71"/>
      <c r="S33" s="71"/>
      <c r="T33" s="22"/>
      <c r="U33" s="22"/>
      <c r="V33" s="22"/>
      <c r="W33" s="22"/>
      <c r="X33" s="22"/>
      <c r="Y33" s="22"/>
      <c r="Z33" s="22"/>
      <c r="AA33" s="71"/>
      <c r="AB33" s="71"/>
      <c r="AC33" s="71"/>
      <c r="AD33" s="71"/>
      <c r="AE33" s="71"/>
      <c r="AF33" s="71"/>
      <c r="AG33" s="71"/>
      <c r="AH33" s="71"/>
      <c r="AI33" s="22"/>
      <c r="AJ33" s="70"/>
      <c r="AK33" s="70"/>
      <c r="AL33" s="70"/>
      <c r="AM33" s="70"/>
      <c r="AN33" s="70"/>
      <c r="AO33" s="22"/>
      <c r="AP33" s="22"/>
      <c r="AQ33" s="22"/>
      <c r="AR33" s="22"/>
      <c r="AS33" s="22"/>
      <c r="AT33" s="22"/>
      <c r="AU33" s="22"/>
      <c r="AV33" s="22"/>
      <c r="AW33" s="22"/>
      <c r="AX33" s="22"/>
      <c r="AY33" s="22"/>
    </row>
    <row r="34" spans="1:51" x14ac:dyDescent="0.3">
      <c r="A34" s="22"/>
      <c r="B34" s="184" t="str">
        <f>IF(O34="","","!")</f>
        <v/>
      </c>
      <c r="C34" s="422"/>
      <c r="D34" s="422"/>
      <c r="E34" s="422"/>
      <c r="F34" s="422"/>
      <c r="G34" s="406"/>
      <c r="H34" s="406"/>
      <c r="I34" s="406"/>
      <c r="J34" s="191"/>
      <c r="K34" s="405" t="str">
        <f>IF(OR(C34="",G34="",J34=""),"",IF(AB34=FALSE,Z34+W34-Y34,AI34+AF34-AH34))</f>
        <v/>
      </c>
      <c r="L34" s="405"/>
      <c r="M34" s="76"/>
      <c r="N34" s="178" t="str">
        <f>IF(O34="","","ï")</f>
        <v/>
      </c>
      <c r="O34" s="221" t="str">
        <f>IF(AND(INDEX(Status_Systeme,$A$2)=TRUE,S34&gt;0),TBS_Fehler_3,IF(OR(S34=0,S34=3),"",TBS_Fehler_2))</f>
        <v/>
      </c>
      <c r="P34" s="22"/>
      <c r="Q34" s="22"/>
      <c r="R34" s="71"/>
      <c r="S34" s="72">
        <f>COUNTA(C34,G34,J34)</f>
        <v>0</v>
      </c>
      <c r="T34" s="72" t="e">
        <f>IF((Basis_Betrachtungszeitraum/J34)&lt;=1,0,IF((Basis_Betrachtungszeitraum/J34)&lt;=2,1,2))</f>
        <v>#DIV/0!</v>
      </c>
      <c r="U34" s="326" t="e">
        <f>IF(T34&lt;1,0,G34*IF($A$2=1,1,(1-Basis_Foerderung))*(1+Basis_Preisentwicklung_Produkte)^J34)</f>
        <v>#DIV/0!</v>
      </c>
      <c r="V34" s="326" t="e">
        <f>IF(T34&gt;1,G34*IF($A$2=1,1,(1-Basis_Foerderung))*(1+Basis_Preisentwicklung_Produkte)^(2*J34),0)</f>
        <v>#DIV/0!</v>
      </c>
      <c r="W34" s="326" t="e">
        <f>U34*(1/(1+Basis_Realzins))^J34+V34*(1/(1+Basis_Realzins))^(2*J34)</f>
        <v>#DIV/0!</v>
      </c>
      <c r="X34" s="73" t="e">
        <f>IF((INT(Basis_Betrachtungszeitraum/J34)=Basis_Betrachtungszeitraum/J34),1,(J34*(T34+1)-Basis_Betrachtungszeitraum)/J34)</f>
        <v>#DIV/0!</v>
      </c>
      <c r="Y34" s="326" t="e">
        <f>IF(X34=1,0,IF(T34=0,G34*IF($A$2=1,1,(1-Basis_Foerderung)),INDEX(U34:V34,1,T34))*Basis_Diskontsatz*X34)</f>
        <v>#DIV/0!</v>
      </c>
      <c r="Z34" s="326">
        <f>G34*IF($A$2=1,1,(1-Basis_Foerderung))</f>
        <v>0</v>
      </c>
      <c r="AA34" s="71"/>
      <c r="AB34" s="72" t="b">
        <f>IF(OR(BestandRH_Select&lt;3,(Jahr_Betrachtung-Jahr_Kessel)&gt;=J34,J34=""),FALSE,Jahr_Betrachtung-Jahr_Kessel)</f>
        <v>0</v>
      </c>
      <c r="AC34" s="72">
        <f>IF((-AB34+J34)&gt;=Basis_Betrachtungszeitraum,0,IF((-AB34+2*J34)&lt;Basis_Betrachtungszeitraum,2,1))</f>
        <v>2</v>
      </c>
      <c r="AD34" s="326">
        <f>IF(AC34&lt;1,0,G34*(1+Basis_Preisentwicklung_Produkte)^(-AB34+J34))</f>
        <v>0</v>
      </c>
      <c r="AE34" s="326">
        <f>IF(AC34&gt;1,G34*(1+Basis_Preisentwicklung_Produkte)^(-AB34+2*J34),0)</f>
        <v>0</v>
      </c>
      <c r="AF34" s="326">
        <f>AD34*(1/(1+Basis_Realzins))^(-AB34+J34)+AE34*(1/(1+Basis_Realzins))^(-AB34+2*J34)</f>
        <v>0</v>
      </c>
      <c r="AG34" s="73" t="e">
        <f>(-AB34+(AC34+1)*J34-Basis_Betrachtungszeitraum)/J34</f>
        <v>#DIV/0!</v>
      </c>
      <c r="AH34" s="326" t="e">
        <f t="shared" ref="AH34:AH36" si="40">IF(AG34=1,0,IF(AC34=0,P34*IF($A$2=1,1,(1-Basis_Foerderung)),INDEX(AD34:AE34,1,AC34))*Basis_Diskontsatz*AG34)</f>
        <v>#DIV/0!</v>
      </c>
      <c r="AI34" s="326" t="e">
        <f>G34*((1/(1+Basis_Realzins))^(AB34))*(AB34)/J34</f>
        <v>#DIV/0!</v>
      </c>
      <c r="AJ34" s="70"/>
      <c r="AK34" s="70"/>
      <c r="AL34" s="70"/>
      <c r="AM34" s="70"/>
      <c r="AN34" s="70"/>
      <c r="AO34" s="22"/>
      <c r="AP34" s="22"/>
      <c r="AQ34" s="22"/>
      <c r="AR34" s="22"/>
      <c r="AS34" s="22"/>
      <c r="AT34" s="22"/>
      <c r="AU34" s="22"/>
      <c r="AV34" s="22"/>
      <c r="AW34" s="22"/>
      <c r="AX34" s="22"/>
      <c r="AY34" s="22"/>
    </row>
    <row r="35" spans="1:51" x14ac:dyDescent="0.3">
      <c r="A35" s="22"/>
      <c r="B35" s="184" t="str">
        <f>IF(O35="","","!")</f>
        <v/>
      </c>
      <c r="C35" s="423"/>
      <c r="D35" s="423"/>
      <c r="E35" s="423"/>
      <c r="F35" s="423"/>
      <c r="G35" s="406"/>
      <c r="H35" s="406"/>
      <c r="I35" s="406"/>
      <c r="J35" s="192"/>
      <c r="K35" s="405" t="str">
        <f>IF(OR(C35="",G35="",J35=""),"",IF(AB35=FALSE,Z35+W35-Y35,AI35+AF35-AH35))</f>
        <v/>
      </c>
      <c r="L35" s="405"/>
      <c r="M35" s="76"/>
      <c r="N35" s="178" t="str">
        <f>IF(O35="","","ï")</f>
        <v/>
      </c>
      <c r="O35" s="221" t="str">
        <f>IF(AND(INDEX(Status_Systeme,$A$2)=TRUE,S35&gt;0),TBS_Fehler_3,IF(OR(S35=0,S35=3),"",TBS_Fehler_2))</f>
        <v/>
      </c>
      <c r="P35" s="22"/>
      <c r="Q35" s="22"/>
      <c r="R35" s="71"/>
      <c r="S35" s="72">
        <f>COUNTA(C35,G35,J35)</f>
        <v>0</v>
      </c>
      <c r="T35" s="72" t="e">
        <f>IF((Basis_Betrachtungszeitraum/J35)&lt;=1,0,IF((Basis_Betrachtungszeitraum/J35)&lt;=2,1,2))</f>
        <v>#DIV/0!</v>
      </c>
      <c r="U35" s="326" t="e">
        <f>IF(T35&lt;1,0,G35*IF($A$2=1,1,(1-Basis_Foerderung))*(1+Basis_Preisentwicklung_Produkte)^J35)</f>
        <v>#DIV/0!</v>
      </c>
      <c r="V35" s="326" t="e">
        <f>IF(T35&gt;1,G35*IF($A$2=1,1,(1-Basis_Foerderung))*(1+Basis_Preisentwicklung_Produkte)^(2*J35),0)</f>
        <v>#DIV/0!</v>
      </c>
      <c r="W35" s="326" t="e">
        <f>U35*(1/(1+Basis_Realzins))^J35+V35*(1/(1+Basis_Realzins))^(2*J35)</f>
        <v>#DIV/0!</v>
      </c>
      <c r="X35" s="73" t="e">
        <f>IF((INT(Basis_Betrachtungszeitraum/J35)=Basis_Betrachtungszeitraum/J35),1,(J35*(T35+1)-Basis_Betrachtungszeitraum)/J35)</f>
        <v>#DIV/0!</v>
      </c>
      <c r="Y35" s="326" t="e">
        <f>IF(X35=1,0,IF(T35=0,G35*IF($A$2=1,1,(1-Basis_Foerderung)),INDEX(U35:V35,1,T35))*Basis_Diskontsatz*X35)</f>
        <v>#DIV/0!</v>
      </c>
      <c r="Z35" s="326">
        <f>G35*IF($A$2=1,1,(1-Basis_Foerderung))</f>
        <v>0</v>
      </c>
      <c r="AA35" s="71"/>
      <c r="AB35" s="72" t="b">
        <f>IF(OR(BestandRH_Select&lt;3,(Jahr_Betrachtung-Jahr_Kessel)&gt;=J35,J35=""),FALSE,Jahr_Betrachtung-Jahr_Kessel)</f>
        <v>0</v>
      </c>
      <c r="AC35" s="72">
        <f>IF((-AB35+J35)&gt;=Basis_Betrachtungszeitraum,0,IF((-AB35+2*J35)&lt;Basis_Betrachtungszeitraum,2,1))</f>
        <v>2</v>
      </c>
      <c r="AD35" s="326">
        <f>IF(AC35&lt;1,0,G35*(1+Basis_Preisentwicklung_Produkte)^(-AB35+J35))</f>
        <v>0</v>
      </c>
      <c r="AE35" s="326">
        <f>IF(AC35&gt;1,G35*(1+Basis_Preisentwicklung_Produkte)^(-AB35+2*J35),0)</f>
        <v>0</v>
      </c>
      <c r="AF35" s="326">
        <f>AD35*(1/(1+Basis_Realzins))^(-AB35+J35)+AE35*(1/(1+Basis_Realzins))^(-AB35+2*J35)</f>
        <v>0</v>
      </c>
      <c r="AG35" s="73" t="e">
        <f>(-AB35+(AC35+1)*J35-Basis_Betrachtungszeitraum)/J35</f>
        <v>#DIV/0!</v>
      </c>
      <c r="AH35" s="326" t="e">
        <f t="shared" si="40"/>
        <v>#DIV/0!</v>
      </c>
      <c r="AI35" s="326" t="e">
        <f>G35*((1/(1+Basis_Realzins))^(AB35))*(AB35)/J35</f>
        <v>#DIV/0!</v>
      </c>
      <c r="AJ35" s="70"/>
      <c r="AK35" s="70"/>
      <c r="AL35" s="70"/>
      <c r="AM35" s="70"/>
      <c r="AN35" s="70"/>
      <c r="AO35" s="22"/>
      <c r="AP35" s="22"/>
      <c r="AQ35" s="22"/>
      <c r="AR35" s="22"/>
      <c r="AS35" s="22"/>
      <c r="AT35" s="22"/>
      <c r="AU35" s="22"/>
      <c r="AV35" s="22"/>
      <c r="AW35" s="22"/>
      <c r="AX35" s="22"/>
      <c r="AY35" s="22"/>
    </row>
    <row r="36" spans="1:51" x14ac:dyDescent="0.3">
      <c r="A36" s="22"/>
      <c r="B36" s="184" t="str">
        <f>IF(O36="","","!")</f>
        <v/>
      </c>
      <c r="C36" s="423"/>
      <c r="D36" s="423"/>
      <c r="E36" s="423"/>
      <c r="F36" s="423"/>
      <c r="G36" s="406"/>
      <c r="H36" s="406"/>
      <c r="I36" s="406"/>
      <c r="J36" s="192"/>
      <c r="K36" s="405" t="str">
        <f>IF(OR(C36="",G36="",J36=""),"",IF(AB36=FALSE,Z36+W36-Y36,AI36+AF36-AH36))</f>
        <v/>
      </c>
      <c r="L36" s="405"/>
      <c r="M36" s="76"/>
      <c r="N36" s="178" t="str">
        <f>IF(O36="","","ï")</f>
        <v/>
      </c>
      <c r="O36" s="221" t="str">
        <f>IF(AND(INDEX(Status_Systeme,$A$2)=TRUE,S36&gt;0),TBS_Fehler_3,IF(OR(S36=0,S36=3),"",TBS_Fehler_2))</f>
        <v/>
      </c>
      <c r="P36" s="22"/>
      <c r="Q36" s="22"/>
      <c r="R36" s="71"/>
      <c r="S36" s="72">
        <f>COUNTA(C36,G36,J36)</f>
        <v>0</v>
      </c>
      <c r="T36" s="72" t="e">
        <f>IF((Basis_Betrachtungszeitraum/J36)&lt;=1,0,IF((Basis_Betrachtungszeitraum/J36)&lt;=2,1,2))</f>
        <v>#DIV/0!</v>
      </c>
      <c r="U36" s="326" t="e">
        <f>IF(T36&lt;1,0,G36*IF($A$2=1,1,(1-Basis_Foerderung))*(1+Basis_Preisentwicklung_Produkte)^J36)</f>
        <v>#DIV/0!</v>
      </c>
      <c r="V36" s="326" t="e">
        <f>IF(T36&gt;1,G36*IF($A$2=1,1,(1-Basis_Foerderung))*(1+Basis_Preisentwicklung_Produkte)^(2*J36),0)</f>
        <v>#DIV/0!</v>
      </c>
      <c r="W36" s="326" t="e">
        <f>U36*(1/(1+Basis_Realzins))^J36+V36*(1/(1+Basis_Realzins))^(2*J36)</f>
        <v>#DIV/0!</v>
      </c>
      <c r="X36" s="73" t="e">
        <f>IF((INT(Basis_Betrachtungszeitraum/J36)=Basis_Betrachtungszeitraum/J36),1,(J36*(T36+1)-Basis_Betrachtungszeitraum)/J36)</f>
        <v>#DIV/0!</v>
      </c>
      <c r="Y36" s="326" t="e">
        <f>IF(X36=1,0,IF(T36=0,G36*IF($A$2=1,1,(1-Basis_Foerderung)),INDEX(U36:V36,1,T36))*Basis_Diskontsatz*X36)</f>
        <v>#DIV/0!</v>
      </c>
      <c r="Z36" s="326">
        <f>G36*IF($A$2=1,1,(1-Basis_Foerderung))</f>
        <v>0</v>
      </c>
      <c r="AA36" s="71"/>
      <c r="AB36" s="72" t="b">
        <f>IF(OR(BestandRH_Select&lt;3,(Jahr_Betrachtung-Jahr_Kessel)&gt;=J36,J36=""),FALSE,Jahr_Betrachtung-Jahr_Kessel)</f>
        <v>0</v>
      </c>
      <c r="AC36" s="72">
        <f>IF((-AB36+J36)&gt;=Basis_Betrachtungszeitraum,0,IF((-AB36+2*J36)&lt;Basis_Betrachtungszeitraum,2,1))</f>
        <v>2</v>
      </c>
      <c r="AD36" s="326">
        <f>IF(AC36&lt;1,0,G36*(1+Basis_Preisentwicklung_Produkte)^(-AB36+J36))</f>
        <v>0</v>
      </c>
      <c r="AE36" s="326">
        <f>IF(AC36&gt;1,G36*(1+Basis_Preisentwicklung_Produkte)^(-AB36+2*J36),0)</f>
        <v>0</v>
      </c>
      <c r="AF36" s="326">
        <f>AD36*(1/(1+Basis_Realzins))^(-AB36+J36)+AE36*(1/(1+Basis_Realzins))^(-AB36+2*J36)</f>
        <v>0</v>
      </c>
      <c r="AG36" s="73" t="e">
        <f>(-AB36+(AC36+1)*J36-Basis_Betrachtungszeitraum)/J36</f>
        <v>#DIV/0!</v>
      </c>
      <c r="AH36" s="326" t="e">
        <f t="shared" si="40"/>
        <v>#DIV/0!</v>
      </c>
      <c r="AI36" s="326" t="e">
        <f>G36*((1/(1+Basis_Realzins))^(AB36))*(AB36)/J36</f>
        <v>#DIV/0!</v>
      </c>
      <c r="AJ36" s="70"/>
      <c r="AK36" s="70"/>
      <c r="AL36" s="70"/>
      <c r="AM36" s="70"/>
      <c r="AN36" s="70"/>
      <c r="AO36" s="22"/>
      <c r="AP36" s="22"/>
      <c r="AQ36" s="22"/>
      <c r="AR36" s="22"/>
      <c r="AS36" s="22"/>
      <c r="AT36" s="22"/>
      <c r="AU36" s="22"/>
      <c r="AV36" s="22"/>
      <c r="AW36" s="22"/>
      <c r="AX36" s="22"/>
      <c r="AY36" s="22"/>
    </row>
    <row r="37" spans="1:51" ht="21" customHeight="1" x14ac:dyDescent="0.3">
      <c r="A37" s="22"/>
      <c r="B37" s="75"/>
      <c r="C37" s="242" t="str">
        <f>IF(INDEX(Status_Systeme,$A$2)=TRUE,"","D | SUMME")</f>
        <v>D | SUMME</v>
      </c>
      <c r="D37" s="188"/>
      <c r="E37" s="188"/>
      <c r="F37" s="188"/>
      <c r="G37" s="161"/>
      <c r="H37" s="161"/>
      <c r="I37" s="161"/>
      <c r="J37" s="188"/>
      <c r="K37" s="412" t="str">
        <f>IF(INDEX(Status_Systeme,$A$2)=TRUE,"",IF(SUM(K20:L36)=0,"",SUM(K20:L36)))</f>
        <v/>
      </c>
      <c r="L37" s="413"/>
      <c r="M37" s="76"/>
      <c r="N37" s="78"/>
      <c r="O37" s="30"/>
      <c r="P37" s="22"/>
      <c r="Q37" s="22"/>
      <c r="R37" s="71"/>
      <c r="S37" s="71"/>
      <c r="T37" s="71"/>
      <c r="U37" s="71"/>
      <c r="V37" s="71"/>
      <c r="W37" s="71"/>
      <c r="X37" s="71"/>
      <c r="Y37" s="71"/>
      <c r="Z37" s="71"/>
      <c r="AA37" s="71"/>
      <c r="AB37" s="22"/>
      <c r="AC37" s="22"/>
      <c r="AD37" s="22"/>
      <c r="AE37" s="22"/>
      <c r="AF37" s="22"/>
      <c r="AG37" s="22"/>
      <c r="AH37" s="22"/>
      <c r="AI37" s="22"/>
      <c r="AJ37" s="70"/>
      <c r="AK37" s="70"/>
      <c r="AL37" s="70"/>
      <c r="AM37" s="70"/>
      <c r="AN37" s="70"/>
      <c r="AO37" s="22"/>
      <c r="AP37" s="22"/>
      <c r="AQ37" s="22"/>
      <c r="AR37" s="22"/>
      <c r="AS37" s="22"/>
      <c r="AT37" s="22"/>
      <c r="AU37" s="22"/>
      <c r="AV37" s="22"/>
      <c r="AW37" s="22"/>
      <c r="AX37" s="22"/>
      <c r="AY37" s="22"/>
    </row>
    <row r="38" spans="1:51" ht="30" customHeight="1" x14ac:dyDescent="0.3">
      <c r="A38" s="22"/>
      <c r="B38" s="75"/>
      <c r="C38" s="424" t="str">
        <f>IF(INDEX(Status_Systeme,$A$2)=TRUE,"","¹ "&amp;TBS_Systeme_5&amp;IF(A2=1,"",TBS_Systeme_6)&amp;TBS_Systeme_7)</f>
        <v>¹ Der Barwert beinhaltet ggf. anfallende Restwerte und Wiederbeschaffungkosten über den Zeitraum von 20 Jahren. Dabei sind sämtliche Kosten für Wohnbauten inklusive Steuern (brutto), für Nicht-Wohnbauten exklusive Steuern (netto) anzugeben.</v>
      </c>
      <c r="D38" s="424"/>
      <c r="E38" s="424"/>
      <c r="F38" s="424"/>
      <c r="G38" s="424"/>
      <c r="H38" s="424"/>
      <c r="I38" s="424"/>
      <c r="J38" s="424"/>
      <c r="K38" s="424"/>
      <c r="L38" s="424"/>
      <c r="M38" s="76"/>
      <c r="N38" s="78"/>
      <c r="O38" s="30"/>
      <c r="P38" s="22"/>
      <c r="Q38" s="22"/>
      <c r="R38" s="71"/>
      <c r="S38" s="71"/>
      <c r="T38" s="71"/>
      <c r="U38" s="71"/>
      <c r="V38" s="71"/>
      <c r="W38" s="71"/>
      <c r="X38" s="71"/>
      <c r="Y38" s="71"/>
      <c r="Z38" s="71"/>
      <c r="AA38" s="71"/>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6.5" customHeight="1" x14ac:dyDescent="0.3">
      <c r="A39" s="22"/>
      <c r="B39" s="75"/>
      <c r="C39" s="415" t="str">
        <f>IF(INDEX(Status_Systeme,$A$2)=TRUE,"",$A$2&amp;".3 "&amp;UPPER(INDEX(Auswahl!$P$2:$P$6,3)))</f>
        <v>1.3 BETRIEBSKOSTEN</v>
      </c>
      <c r="D39" s="415"/>
      <c r="E39" s="415"/>
      <c r="F39" s="415"/>
      <c r="G39" s="160"/>
      <c r="H39" s="160"/>
      <c r="I39" s="160"/>
      <c r="J39" s="410" t="str">
        <f>IF(INDEX(Status_Systeme,$A$2)=TRUE,"","laufende Kosten"&amp;IF(C42="","","²")&amp;" [€/a]")</f>
        <v>laufende Kosten [€/a]</v>
      </c>
      <c r="K39" s="408" t="str">
        <f>IF(INDEX(Status_Systeme,$A$2)=TRUE,"","Gesamtkosten"&amp;CHAR(2)&amp;CHAR(10)&amp;"nach "&amp;Basis_Betrachtungszeitraum&amp;"a [€]"&amp;CHAR(2))</f>
        <v>Gesamtkosten_x0002_
nach 20a [€]_x0002_</v>
      </c>
      <c r="L39" s="408"/>
      <c r="M39" s="76"/>
      <c r="N39" s="78"/>
      <c r="O39" s="30"/>
      <c r="P39" s="22"/>
      <c r="Q39" s="22"/>
      <c r="R39" s="71"/>
      <c r="S39" s="71"/>
      <c r="T39" s="71"/>
      <c r="U39" s="128"/>
      <c r="V39" s="128"/>
      <c r="W39" s="71"/>
      <c r="X39" s="71"/>
      <c r="Y39" s="71"/>
      <c r="Z39" s="71"/>
      <c r="AA39" s="71"/>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row>
    <row r="40" spans="1:51" ht="21" customHeight="1" x14ac:dyDescent="0.3">
      <c r="A40" s="22"/>
      <c r="B40" s="75"/>
      <c r="C40" s="416"/>
      <c r="D40" s="416"/>
      <c r="E40" s="416"/>
      <c r="F40" s="416"/>
      <c r="G40" s="417"/>
      <c r="H40" s="417"/>
      <c r="I40" s="417"/>
      <c r="J40" s="411"/>
      <c r="K40" s="409"/>
      <c r="L40" s="409"/>
      <c r="M40" s="76"/>
      <c r="N40" s="78"/>
      <c r="O40" s="30"/>
      <c r="P40" s="22"/>
      <c r="Q40" s="22"/>
      <c r="R40" s="71"/>
      <c r="S40" s="71"/>
      <c r="T40" s="71"/>
      <c r="U40" s="128"/>
      <c r="V40" s="128"/>
      <c r="W40" s="71"/>
      <c r="X40" s="71"/>
      <c r="Y40" s="71"/>
      <c r="Z40" s="71"/>
      <c r="AA40" s="71"/>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row>
    <row r="41" spans="1:51" x14ac:dyDescent="0.3">
      <c r="A41" s="22"/>
      <c r="B41" s="75"/>
      <c r="C41" s="420" t="str">
        <f>IF(INDEX(Status_Systeme,$A$2)=TRUE,"","Wartung und Instandhaltung")</f>
        <v>Wartung und Instandhaltung</v>
      </c>
      <c r="D41" s="420"/>
      <c r="E41" s="420"/>
      <c r="F41" s="420"/>
      <c r="G41" s="421"/>
      <c r="H41" s="421"/>
      <c r="I41" s="421"/>
      <c r="J41" s="256" t="e">
        <f>IF(INDEX(Status_Systeme,$A$2)=TRUE,"",INDEX(Basis_BK_calc,$A$2))</f>
        <v>#N/A</v>
      </c>
      <c r="K41" s="405" t="e">
        <f>IF(J41="","",J41*Basis_Barwertfaktor*Basis_Barwertfaktor_Instandhaltung)</f>
        <v>#N/A</v>
      </c>
      <c r="L41" s="405"/>
      <c r="M41" s="76"/>
      <c r="N41" s="78"/>
      <c r="O41" s="30"/>
      <c r="P41" s="55"/>
      <c r="Q41" s="55"/>
      <c r="R41" s="71"/>
      <c r="S41" s="106"/>
      <c r="T41" s="71"/>
      <c r="U41" s="128"/>
      <c r="V41" s="128"/>
      <c r="W41" s="71"/>
      <c r="X41" s="71"/>
      <c r="Y41" s="71"/>
      <c r="Z41" s="71"/>
      <c r="AA41" s="71"/>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row>
    <row r="42" spans="1:51" x14ac:dyDescent="0.3">
      <c r="A42" s="22"/>
      <c r="C42" s="224" t="str">
        <f>IF(INDEX(Status_Systeme,$A$2)=TRUE,"",IF(EA_BGF&gt;=3000,"² Betriebskosten lt. CostOpt 2019, Änderung in Registerblatt "&amp;Auswahl!G10&amp;" | "&amp;Auswahl!H10&amp;" möglich.",""))</f>
        <v/>
      </c>
      <c r="D42" s="53"/>
      <c r="E42" s="53"/>
      <c r="F42" s="53"/>
      <c r="G42" s="53"/>
      <c r="H42" s="53"/>
      <c r="I42" s="53"/>
      <c r="J42" s="53"/>
      <c r="K42" s="53"/>
      <c r="L42" s="50"/>
      <c r="M42" s="76"/>
      <c r="N42" s="78"/>
      <c r="O42" s="30"/>
      <c r="P42" s="24"/>
      <c r="Q42" s="24"/>
      <c r="R42" s="71"/>
      <c r="S42" s="71"/>
      <c r="T42" s="71"/>
      <c r="U42" s="128"/>
      <c r="V42" s="128"/>
      <c r="W42" s="71"/>
      <c r="X42" s="71"/>
      <c r="Y42" s="71"/>
      <c r="Z42" s="71"/>
      <c r="AA42" s="71"/>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row>
    <row r="43" spans="1:51" ht="7.5" customHeight="1" x14ac:dyDescent="0.3">
      <c r="A43" s="22"/>
      <c r="C43" s="52"/>
      <c r="D43" s="53"/>
      <c r="E43" s="53"/>
      <c r="F43" s="53"/>
      <c r="G43" s="53"/>
      <c r="H43" s="53"/>
      <c r="I43" s="53"/>
      <c r="J43" s="53"/>
      <c r="K43" s="53"/>
      <c r="L43" s="50"/>
      <c r="M43" s="76"/>
      <c r="N43" s="78"/>
      <c r="O43" s="30"/>
      <c r="P43" s="24"/>
      <c r="Q43" s="24"/>
      <c r="R43" s="71"/>
      <c r="S43" s="71"/>
      <c r="T43" s="71"/>
      <c r="U43" s="128"/>
      <c r="V43" s="128"/>
      <c r="W43" s="71"/>
      <c r="X43" s="71"/>
      <c r="Y43" s="71"/>
      <c r="Z43" s="71"/>
      <c r="AA43" s="71"/>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row>
    <row r="44" spans="1:51" ht="37.5" customHeight="1" x14ac:dyDescent="0.3">
      <c r="A44" s="22"/>
      <c r="B44" s="75"/>
      <c r="C44" s="416" t="str">
        <f>IF(INDEX(Status_Systeme,$A$2)=TRUE,"",$A$2&amp;".4 "&amp;UPPER(INDEX(Auswahl!$P$2:$P$6,4)))</f>
        <v>1.4 ENERGIEKOSTEN</v>
      </c>
      <c r="D44" s="416"/>
      <c r="E44" s="416"/>
      <c r="F44" s="416"/>
      <c r="G44" s="411" t="str">
        <f>IF(INDEX(Status_Systeme,$A$2)=TRUE,"","Energiebedarf"&amp;CHAR(10)&amp;"[kWh/a]")</f>
        <v>Energiebedarf
[kWh/a]</v>
      </c>
      <c r="H44" s="411"/>
      <c r="I44" s="411"/>
      <c r="J44" s="67" t="str">
        <f>IF(INDEX(Status_Systeme,$A$2)=TRUE,"","Energiepreis"&amp;IF(C47="","",IF(C42="","²","³"))&amp;CHAR(10)&amp;"[€/kWh]")</f>
        <v>Energiepreis²
[€/kWh]</v>
      </c>
      <c r="K44" s="409" t="str">
        <f>IF(INDEX(Status_Systeme,$A$2)=TRUE,"","Gesamtkosten"&amp;CHAR(2)&amp;CHAR(10)&amp;"nach "&amp;Basis_Betrachtungszeitraum&amp;"a [€]"&amp;CHAR(2))</f>
        <v>Gesamtkosten_x0002_
nach 20a [€]_x0002_</v>
      </c>
      <c r="L44" s="409"/>
      <c r="M44" s="76"/>
      <c r="N44" s="78"/>
      <c r="O44" s="30"/>
      <c r="P44" s="22"/>
      <c r="Q44" s="22"/>
      <c r="R44" s="71"/>
      <c r="S44" s="70" t="s">
        <v>180</v>
      </c>
      <c r="T44" s="70" t="s">
        <v>160</v>
      </c>
      <c r="U44" s="70" t="s">
        <v>161</v>
      </c>
      <c r="V44" s="70" t="s">
        <v>162</v>
      </c>
      <c r="W44" s="71"/>
      <c r="X44" s="71"/>
      <c r="Y44" s="71"/>
      <c r="Z44" s="71"/>
      <c r="AA44" s="71"/>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row>
    <row r="45" spans="1:51" x14ac:dyDescent="0.3">
      <c r="A45" s="22"/>
      <c r="B45" s="75"/>
      <c r="C45" s="81" t="str">
        <f>IF(INDEX(Status_Systeme,$A$2)=TRUE,"","A | RAUMWÄRME")</f>
        <v>A | RAUMWÄRME</v>
      </c>
      <c r="D45" s="414" t="e">
        <f>IF(INDEX(Status_Systeme,$A$2)=TRUE,"",VLOOKUP(INDEX(EA_RH_System,EA_RH_System_Select),Tabelle_Betriebskosten,2,FALSE))</f>
        <v>#N/A</v>
      </c>
      <c r="E45" s="414"/>
      <c r="F45" s="414"/>
      <c r="G45" s="418">
        <f>IF(INDEX(Status_Systeme,$A$2)=TRUE,"",EA_QhSK_calc*INDEX(EA_EAWZ_RH_calc,$A$2))</f>
        <v>0</v>
      </c>
      <c r="H45" s="418"/>
      <c r="I45" s="418"/>
      <c r="J45" s="59" t="e">
        <f>IF(OR(D45="",G45=""),"",VLOOKUP(D45,Tabelle_Energie,8,FALSE))</f>
        <v>#N/A</v>
      </c>
      <c r="K45" s="419" t="e">
        <f>IF(J45="","",J45*G45*V45)</f>
        <v>#N/A</v>
      </c>
      <c r="L45" s="419"/>
      <c r="M45" s="76"/>
      <c r="N45" s="78"/>
      <c r="O45" s="30"/>
      <c r="P45" s="55"/>
      <c r="Q45" s="55"/>
      <c r="R45" s="71"/>
      <c r="S45" s="72" t="e">
        <f>VLOOKUP(D45,Tabelle_Energie,6,FALSE)=VLOOKUP(D45,Tabelle_Energie,7,FALSE)</f>
        <v>#N/A</v>
      </c>
      <c r="T45" s="105" t="e">
        <f>VLOOKUP(D45,Tabelle_Energie,5,FALSE)</f>
        <v>#N/A</v>
      </c>
      <c r="U45" s="103" t="e">
        <f>(1-((1+T45)/(1+Basis_Marktzins))^Basis_Betrachtungszeitraum)/(1-((1+Basis_Inflation)/(1+Basis_Marktzins))^Basis_Betrachtungszeitraum)*((Basis_Marktzins-Basis_Inflation)/(1+Basis_Inflation))/((Basis_Marktzins-T45)/(1+T45))</f>
        <v>#N/A</v>
      </c>
      <c r="V45" s="103" t="e">
        <f>Basis_Barwertfaktor*U45</f>
        <v>#N/A</v>
      </c>
      <c r="W45" s="71"/>
      <c r="X45" s="71"/>
      <c r="Y45" s="71"/>
      <c r="Z45" s="71"/>
      <c r="AA45" s="71"/>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x14ac:dyDescent="0.3">
      <c r="A46" s="22"/>
      <c r="B46" s="75"/>
      <c r="C46" s="81" t="str">
        <f>IF(INDEX(Status_Systeme,$A$2)=TRUE,"","B | WARMWASSER")</f>
        <v>B | WARMWASSER</v>
      </c>
      <c r="D46" s="414" t="e">
        <f>IF(INDEX(Status_Systeme,$A$2)=TRUE,"",VLOOKUP(INDEX(EA_WW_System,EA_WW_System_Select),Tabelle_Betriebskosten,2,FALSE))</f>
        <v>#N/A</v>
      </c>
      <c r="E46" s="414"/>
      <c r="F46" s="414"/>
      <c r="G46" s="418">
        <f>IF(INDEX(Status_Systeme,$A$2)=TRUE,"",EA_Qtw_calc*INDEX(EA_EAWZ_WW_calc,$A$2))</f>
        <v>0</v>
      </c>
      <c r="H46" s="418"/>
      <c r="I46" s="418"/>
      <c r="J46" s="59" t="e">
        <f>IF(OR(D46="",G46=""),"",VLOOKUP(D46,Tabelle_Energie,8,FALSE))</f>
        <v>#N/A</v>
      </c>
      <c r="K46" s="419" t="e">
        <f>IF(J46="","",J46*G46*V46)</f>
        <v>#N/A</v>
      </c>
      <c r="L46" s="419"/>
      <c r="M46" s="76"/>
      <c r="N46" s="78"/>
      <c r="O46" s="30"/>
      <c r="P46" s="55"/>
      <c r="Q46" s="55"/>
      <c r="R46" s="71"/>
      <c r="S46" s="72" t="e">
        <f>VLOOKUP(D46,Tabelle_Energie,6,FALSE)=VLOOKUP(D46,Tabelle_Energie,7,FALSE)</f>
        <v>#N/A</v>
      </c>
      <c r="T46" s="105" t="e">
        <f>VLOOKUP(D46,Tabelle_Energie,5,FALSE)</f>
        <v>#N/A</v>
      </c>
      <c r="U46" s="103" t="e">
        <f>(1-((1+T46)/(1+Basis_Marktzins))^Basis_Betrachtungszeitraum)/(1-((1+Basis_Inflation)/(1+Basis_Marktzins))^Basis_Betrachtungszeitraum)*((Basis_Marktzins-Basis_Inflation)/(1+Basis_Inflation))/((Basis_Marktzins-T46)/(1+T46))</f>
        <v>#N/A</v>
      </c>
      <c r="V46" s="103" t="e">
        <f>Basis_Barwertfaktor*U46</f>
        <v>#N/A</v>
      </c>
      <c r="W46" s="71"/>
      <c r="X46" s="71"/>
      <c r="Y46" s="71"/>
      <c r="Z46" s="71"/>
      <c r="AA46" s="71"/>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row>
    <row r="47" spans="1:51" x14ac:dyDescent="0.3">
      <c r="A47" s="22"/>
      <c r="C47" s="224" t="str">
        <f>IF(INDEX(Status_Systeme,$A$2)=TRUE,"",IF(OR(EA_BGF&gt;=3000,EA_WG=FALSE),IF(C42="","²","³")&amp;" Energiekosten lt. CostOpt 2019, Änderung in Registerblatt "&amp;Auswahl!G10&amp;" | "&amp;Auswahl!H10&amp;" möglich.",""))</f>
        <v>² Energiekosten lt. CostOpt 2019, Änderung in Registerblatt 7 | Rahmenbedingungen möglich.</v>
      </c>
      <c r="D47" s="53"/>
      <c r="E47" s="53"/>
      <c r="F47" s="53"/>
      <c r="G47" s="53"/>
      <c r="H47" s="53"/>
      <c r="I47" s="53"/>
      <c r="J47" s="53"/>
      <c r="K47" s="53"/>
      <c r="L47" s="50"/>
      <c r="M47" s="76"/>
      <c r="N47" s="78"/>
      <c r="O47" s="30"/>
      <c r="P47" s="24"/>
      <c r="Q47" s="24"/>
      <c r="R47" s="71"/>
      <c r="S47" s="71"/>
      <c r="T47" s="71"/>
      <c r="U47" s="128"/>
      <c r="V47" s="128"/>
      <c r="W47" s="71"/>
      <c r="X47" s="71"/>
      <c r="Y47" s="71"/>
      <c r="Z47" s="71"/>
      <c r="AA47" s="71"/>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row>
    <row r="48" spans="1:51" ht="7.5" customHeight="1" x14ac:dyDescent="0.3">
      <c r="A48" s="22"/>
      <c r="C48" s="53"/>
      <c r="D48" s="53"/>
      <c r="E48" s="53"/>
      <c r="F48" s="53"/>
      <c r="G48" s="53"/>
      <c r="H48" s="53"/>
      <c r="I48" s="53"/>
      <c r="J48" s="53"/>
      <c r="K48" s="53"/>
      <c r="L48" s="50"/>
      <c r="M48" s="76"/>
      <c r="N48" s="78"/>
      <c r="O48" s="30"/>
      <c r="P48" s="24"/>
      <c r="Q48" s="24"/>
      <c r="R48" s="71"/>
      <c r="S48" s="71"/>
      <c r="T48" s="71"/>
      <c r="U48" s="128"/>
      <c r="V48" s="128"/>
      <c r="W48" s="71"/>
      <c r="X48" s="71"/>
      <c r="Y48" s="71"/>
      <c r="Z48" s="71"/>
      <c r="AA48" s="71"/>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row>
    <row r="49" spans="1:51" ht="37.5" customHeight="1" x14ac:dyDescent="0.3">
      <c r="A49" s="22"/>
      <c r="B49" s="75"/>
      <c r="C49" s="416" t="str">
        <f>IF(OR(INDEX(Status_Systeme,$A$2)=TRUE,EA_PV_Status=FALSE),"",$A$2&amp;".5 "&amp;UPPER(INDEX(Auswahl!$P$2:$P$6,5)))</f>
        <v/>
      </c>
      <c r="D49" s="416"/>
      <c r="E49" s="416"/>
      <c r="F49" s="416"/>
      <c r="G49" s="411" t="str">
        <f>IF(OR(INDEX(Status_Systeme,$A$2)=TRUE,EA_PV_Status=FALSE),"","Energiegewinn"&amp;CHAR(10)&amp;"[kWh/a]")</f>
        <v/>
      </c>
      <c r="H49" s="411"/>
      <c r="I49" s="411"/>
      <c r="J49" s="67" t="str">
        <f>IF(OR(INDEX(Status_Systeme,$A$2)=TRUE,EA_PV_Status=FALSE),"","Energiepreis*"&amp;CHAR(10)&amp;"[€/kWh]")</f>
        <v/>
      </c>
      <c r="K49" s="409" t="str">
        <f>IF(OR(INDEX(Status_Systeme,$A$2)=TRUE,EA_PV_Status=FALSE),"","Gesamtkosten"&amp;CHAR(2)&amp;CHAR(10)&amp;"nach "&amp;Basis_Betrachtungszeitraum&amp;"a [€]"&amp;CHAR(2))</f>
        <v/>
      </c>
      <c r="L49" s="409"/>
      <c r="M49" s="76"/>
      <c r="N49" s="78"/>
      <c r="O49" s="30"/>
      <c r="P49" s="22"/>
      <c r="Q49" s="22"/>
      <c r="R49" s="71"/>
      <c r="S49" s="70" t="s">
        <v>180</v>
      </c>
      <c r="T49" s="70" t="s">
        <v>160</v>
      </c>
      <c r="U49" s="70" t="s">
        <v>161</v>
      </c>
      <c r="V49" s="70" t="s">
        <v>162</v>
      </c>
      <c r="W49" s="71"/>
      <c r="X49" s="71"/>
      <c r="Y49" s="71"/>
      <c r="Z49" s="71"/>
      <c r="AA49" s="71"/>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row>
    <row r="50" spans="1:51" x14ac:dyDescent="0.3">
      <c r="A50" s="22"/>
      <c r="B50" s="75"/>
      <c r="C50" s="81" t="str">
        <f>IF(OR(INDEX(Status_Systeme,$A$2)=TRUE,EA_PV_Status=FALSE),"","A | EIGENVERBRAUCH")</f>
        <v/>
      </c>
      <c r="D50" s="414" t="str">
        <f>IF(OR(INDEX(Status_Systeme,$A$2)=TRUE,EA_PV_Status=FALSE),"",INDEX(Tabelle_Energie,8,1))</f>
        <v/>
      </c>
      <c r="E50" s="414"/>
      <c r="F50" s="414"/>
      <c r="G50" s="418" t="str">
        <f>IF(OR(INDEX(Status_Systeme,$A$2)=TRUE,EA_PV_Status=FALSE),"",EA_PV_Ertrag-EA_PV_Export)</f>
        <v/>
      </c>
      <c r="H50" s="418"/>
      <c r="I50" s="418"/>
      <c r="J50" s="59" t="str">
        <f>IF(OR(INDEX(Status_Systeme,$A$2)=TRUE,EA_PV_Status=FALSE),"",INDEX(Tabelle_Energie,8,8))</f>
        <v/>
      </c>
      <c r="K50" s="419" t="str">
        <f>IF(J50="","",-J50*G50*V50)</f>
        <v/>
      </c>
      <c r="L50" s="419"/>
      <c r="M50" s="76"/>
      <c r="N50" s="78"/>
      <c r="O50" s="30"/>
      <c r="P50" s="55"/>
      <c r="Q50" s="55"/>
      <c r="R50" s="71"/>
      <c r="S50" s="72" t="e">
        <f>VLOOKUP(D50,Tabelle_Energie,6,FALSE)=VLOOKUP(D50,Tabelle_Energie,7,FALSE)</f>
        <v>#N/A</v>
      </c>
      <c r="T50" s="105" t="e">
        <f>VLOOKUP(D50,Tabelle_Energie,5,FALSE)</f>
        <v>#N/A</v>
      </c>
      <c r="U50" s="103" t="e">
        <f>(1-((1+T50)/(1+Basis_Marktzins))^Basis_Betrachtungszeitraum)/(1-((1+Basis_Inflation)/(1+Basis_Marktzins))^Basis_Betrachtungszeitraum)*((Basis_Marktzins-Basis_Inflation)/(1+Basis_Inflation))/((Basis_Marktzins-T50)/(1+T50))</f>
        <v>#N/A</v>
      </c>
      <c r="V50" s="103" t="e">
        <f>Basis_Barwertfaktor*U50</f>
        <v>#N/A</v>
      </c>
      <c r="W50" s="71"/>
      <c r="X50" s="71"/>
      <c r="Y50" s="71"/>
      <c r="Z50" s="71"/>
      <c r="AA50" s="71"/>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row>
    <row r="51" spans="1:51" x14ac:dyDescent="0.3">
      <c r="A51" s="22"/>
      <c r="B51" s="75"/>
      <c r="C51" s="81" t="str">
        <f>IF(OR(INDEX(Status_Systeme,$A$2)=TRUE,EA_PV_Status=FALSE),"","B | ÜBERSCHUSS")</f>
        <v/>
      </c>
      <c r="D51" s="414" t="str">
        <f>IF(OR(INDEX(Status_Systeme,$A$2)=TRUE,EA_PV_Status=FALSE),"",INDEX(Tabelle_Energie,8,1))</f>
        <v/>
      </c>
      <c r="E51" s="414"/>
      <c r="F51" s="414"/>
      <c r="G51" s="418" t="str">
        <f>IF(OR(INDEX(Status_Systeme,$A$2)=TRUE,EA_PV_Status=FALSE),"",EA_PV_Export)</f>
        <v/>
      </c>
      <c r="H51" s="418"/>
      <c r="I51" s="418"/>
      <c r="J51" s="59" t="str">
        <f>IF(OR(INDEX(Status_Systeme,$A$2)=TRUE,EA_PV_Status=FALSE),"",INDEX(Tabelle_Energie,10,8))</f>
        <v/>
      </c>
      <c r="K51" s="419" t="str">
        <f>IF(J51="","",-J51*G51*V51)</f>
        <v/>
      </c>
      <c r="L51" s="419"/>
      <c r="M51" s="76"/>
      <c r="N51" s="78"/>
      <c r="O51" s="30"/>
      <c r="P51" s="55"/>
      <c r="Q51" s="55"/>
      <c r="R51" s="71"/>
      <c r="S51" s="72" t="e">
        <f>VLOOKUP(D51,Tabelle_Energie,6,FALSE)=VLOOKUP(D51,Tabelle_Energie,7,FALSE)</f>
        <v>#N/A</v>
      </c>
      <c r="T51" s="105" t="e">
        <f>VLOOKUP(D51,Tabelle_Energie,5,FALSE)</f>
        <v>#N/A</v>
      </c>
      <c r="U51" s="103" t="e">
        <f>(1-((1+T51)/(1+Basis_Marktzins))^Basis_Betrachtungszeitraum)/(1-((1+Basis_Inflation)/(1+Basis_Marktzins))^Basis_Betrachtungszeitraum)*((Basis_Marktzins-Basis_Inflation)/(1+Basis_Inflation))/((Basis_Marktzins-T51)/(1+T51))</f>
        <v>#N/A</v>
      </c>
      <c r="V51" s="103" t="e">
        <f>Basis_Barwertfaktor*U51</f>
        <v>#N/A</v>
      </c>
      <c r="W51" s="71"/>
      <c r="X51" s="71"/>
      <c r="Y51" s="71"/>
      <c r="Z51" s="71"/>
      <c r="AA51" s="71"/>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row>
    <row r="52" spans="1:51" x14ac:dyDescent="0.3">
      <c r="A52" s="22"/>
      <c r="B52" s="71"/>
      <c r="C52" s="24"/>
      <c r="D52" s="24"/>
      <c r="E52" s="31"/>
      <c r="F52" s="24"/>
      <c r="G52" s="24"/>
      <c r="H52" s="24"/>
      <c r="I52" s="31"/>
      <c r="J52" s="24"/>
      <c r="K52" s="24"/>
      <c r="L52" s="24"/>
      <c r="M52" s="78"/>
      <c r="N52" s="78"/>
      <c r="O52" s="24"/>
      <c r="P52" s="24"/>
      <c r="Q52" s="24"/>
      <c r="R52" s="71"/>
      <c r="S52" s="71"/>
      <c r="T52" s="71"/>
      <c r="U52" s="128"/>
      <c r="V52" s="128"/>
      <c r="W52" s="71"/>
      <c r="X52" s="71"/>
      <c r="Y52" s="71"/>
      <c r="Z52" s="71"/>
      <c r="AA52" s="71"/>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row>
    <row r="53" spans="1:51" x14ac:dyDescent="0.3">
      <c r="A53" s="22"/>
      <c r="B53" s="71"/>
      <c r="C53" s="24"/>
      <c r="D53" s="24"/>
      <c r="E53" s="31"/>
      <c r="F53" s="24"/>
      <c r="G53" s="24"/>
      <c r="H53" s="24"/>
      <c r="I53" s="31"/>
      <c r="J53" s="24"/>
      <c r="K53" s="24"/>
      <c r="L53" s="24"/>
      <c r="M53" s="78"/>
      <c r="N53" s="78"/>
      <c r="O53" s="24"/>
      <c r="P53" s="24"/>
      <c r="Q53" s="24"/>
      <c r="R53" s="71"/>
      <c r="S53" s="71"/>
      <c r="T53" s="71"/>
      <c r="U53" s="71"/>
      <c r="V53" s="71"/>
      <c r="W53" s="71"/>
      <c r="X53" s="71"/>
      <c r="Y53" s="71"/>
      <c r="Z53" s="71"/>
      <c r="AA53" s="71"/>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row>
    <row r="54" spans="1:51" x14ac:dyDescent="0.3">
      <c r="A54" s="22"/>
      <c r="B54" s="71"/>
      <c r="C54" s="56"/>
      <c r="D54" s="56"/>
      <c r="E54" s="29"/>
      <c r="F54" s="29"/>
      <c r="G54" s="29"/>
      <c r="H54" s="29"/>
      <c r="I54" s="29"/>
      <c r="J54" s="29"/>
      <c r="K54" s="29"/>
      <c r="L54" s="57"/>
      <c r="M54" s="78"/>
      <c r="N54" s="78"/>
      <c r="O54" s="24"/>
      <c r="P54" s="24"/>
      <c r="Q54" s="24"/>
      <c r="R54" s="71"/>
      <c r="S54" s="71"/>
      <c r="T54" s="71"/>
      <c r="U54" s="71"/>
      <c r="V54" s="71"/>
      <c r="W54" s="71"/>
      <c r="X54" s="71"/>
      <c r="Y54" s="71"/>
      <c r="Z54" s="71"/>
      <c r="AA54" s="71"/>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row>
    <row r="55" spans="1:51" x14ac:dyDescent="0.3">
      <c r="A55" s="22"/>
      <c r="B55" s="71"/>
      <c r="C55" s="24"/>
      <c r="D55" s="24"/>
      <c r="E55" s="31"/>
      <c r="F55" s="24"/>
      <c r="G55" s="24"/>
      <c r="H55" s="24"/>
      <c r="I55" s="31"/>
      <c r="J55" s="24"/>
      <c r="K55" s="24"/>
      <c r="L55" s="24"/>
      <c r="M55" s="78"/>
      <c r="N55" s="78"/>
      <c r="O55" s="24"/>
      <c r="P55" s="24"/>
      <c r="Q55" s="24"/>
      <c r="R55" s="71"/>
      <c r="S55" s="71"/>
      <c r="T55" s="71"/>
      <c r="U55" s="71"/>
      <c r="V55" s="71"/>
      <c r="W55" s="71"/>
      <c r="X55" s="71"/>
      <c r="Y55" s="71"/>
      <c r="Z55" s="71"/>
      <c r="AA55" s="71"/>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row>
    <row r="56" spans="1:51" x14ac:dyDescent="0.3">
      <c r="A56" s="22"/>
      <c r="B56" s="71"/>
      <c r="C56" s="24"/>
      <c r="D56" s="24"/>
      <c r="E56" s="31"/>
      <c r="F56" s="24"/>
      <c r="G56" s="24"/>
      <c r="H56" s="24"/>
      <c r="I56" s="31"/>
      <c r="J56" s="24"/>
      <c r="K56" s="24"/>
      <c r="L56" s="24"/>
      <c r="M56" s="78"/>
      <c r="N56" s="78"/>
      <c r="O56" s="24"/>
      <c r="P56" s="24"/>
      <c r="Q56" s="24"/>
      <c r="R56" s="71"/>
      <c r="S56" s="71"/>
      <c r="T56" s="71"/>
      <c r="U56" s="71"/>
      <c r="V56" s="71"/>
      <c r="W56" s="71"/>
      <c r="X56" s="71"/>
      <c r="Y56" s="71"/>
      <c r="Z56" s="71"/>
      <c r="AA56" s="71"/>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row>
    <row r="57" spans="1:51" x14ac:dyDescent="0.3">
      <c r="A57" s="22"/>
      <c r="B57" s="71"/>
      <c r="C57" s="24"/>
      <c r="D57" s="24"/>
      <c r="E57" s="31"/>
      <c r="F57" s="24"/>
      <c r="G57" s="24"/>
      <c r="H57" s="24"/>
      <c r="I57" s="31"/>
      <c r="J57" s="24"/>
      <c r="K57" s="24"/>
      <c r="L57" s="24"/>
      <c r="M57" s="78"/>
      <c r="N57" s="78"/>
      <c r="O57" s="24"/>
      <c r="P57" s="24"/>
      <c r="Q57" s="24"/>
      <c r="R57" s="71"/>
      <c r="S57" s="71"/>
      <c r="T57" s="71"/>
      <c r="U57" s="71"/>
      <c r="V57" s="71"/>
      <c r="W57" s="71"/>
      <c r="X57" s="71"/>
      <c r="Y57" s="71"/>
      <c r="Z57" s="71"/>
      <c r="AA57" s="71"/>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row>
    <row r="58" spans="1:51" x14ac:dyDescent="0.3">
      <c r="A58" s="22"/>
      <c r="B58" s="71"/>
      <c r="C58" s="24"/>
      <c r="D58" s="24"/>
      <c r="E58" s="31"/>
      <c r="F58" s="24"/>
      <c r="G58" s="24"/>
      <c r="H58" s="24"/>
      <c r="I58" s="31"/>
      <c r="J58" s="24"/>
      <c r="K58" s="24"/>
      <c r="L58" s="24"/>
      <c r="M58" s="78"/>
      <c r="N58" s="78"/>
      <c r="O58" s="24"/>
      <c r="P58" s="24"/>
      <c r="Q58" s="24"/>
      <c r="R58" s="71"/>
      <c r="S58" s="71"/>
      <c r="T58" s="71"/>
      <c r="U58" s="71"/>
      <c r="V58" s="71"/>
      <c r="W58" s="71"/>
      <c r="X58" s="71"/>
      <c r="Y58" s="71"/>
      <c r="Z58" s="71"/>
      <c r="AA58" s="71"/>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row>
    <row r="59" spans="1:51" x14ac:dyDescent="0.3">
      <c r="A59" s="22"/>
      <c r="B59" s="71"/>
      <c r="C59" s="24"/>
      <c r="D59" s="31"/>
      <c r="E59" s="24"/>
      <c r="F59" s="24"/>
      <c r="G59" s="24"/>
      <c r="H59" s="31"/>
      <c r="I59" s="24"/>
      <c r="J59" s="24"/>
      <c r="K59" s="24"/>
      <c r="L59" s="31"/>
      <c r="M59" s="78"/>
      <c r="N59" s="78"/>
      <c r="O59" s="24"/>
      <c r="P59" s="24"/>
      <c r="Q59" s="24"/>
      <c r="R59" s="71"/>
      <c r="S59" s="71"/>
      <c r="T59" s="71"/>
      <c r="U59" s="71"/>
      <c r="V59" s="71"/>
      <c r="W59" s="71"/>
      <c r="X59" s="71"/>
      <c r="Y59" s="71"/>
      <c r="Z59" s="71"/>
      <c r="AA59" s="71"/>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row>
    <row r="60" spans="1:51" x14ac:dyDescent="0.3">
      <c r="A60" s="22"/>
      <c r="B60" s="71"/>
      <c r="C60" s="24"/>
      <c r="D60" s="31"/>
      <c r="E60" s="24"/>
      <c r="F60" s="24"/>
      <c r="G60" s="24"/>
      <c r="H60" s="31"/>
      <c r="I60" s="24"/>
      <c r="J60" s="24"/>
      <c r="K60" s="24"/>
      <c r="L60" s="31"/>
      <c r="M60" s="78"/>
      <c r="N60" s="78"/>
      <c r="O60" s="24"/>
      <c r="P60" s="24"/>
      <c r="Q60" s="24"/>
      <c r="R60" s="71"/>
      <c r="S60" s="71"/>
      <c r="T60" s="71"/>
      <c r="U60" s="71"/>
      <c r="V60" s="71"/>
      <c r="W60" s="71"/>
      <c r="X60" s="71"/>
      <c r="Y60" s="71"/>
      <c r="Z60" s="71"/>
      <c r="AA60" s="71"/>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row>
    <row r="61" spans="1:51" x14ac:dyDescent="0.3">
      <c r="A61" s="22"/>
      <c r="B61" s="71"/>
      <c r="C61" s="24"/>
      <c r="D61" s="31"/>
      <c r="E61" s="24"/>
      <c r="F61" s="24"/>
      <c r="G61" s="24"/>
      <c r="H61" s="31"/>
      <c r="I61" s="24"/>
      <c r="J61" s="24"/>
      <c r="K61" s="24"/>
      <c r="L61" s="31"/>
      <c r="M61" s="78"/>
      <c r="N61" s="78"/>
      <c r="O61" s="24"/>
      <c r="P61" s="24"/>
      <c r="Q61" s="24"/>
      <c r="R61" s="71"/>
      <c r="S61" s="71"/>
      <c r="T61" s="71"/>
      <c r="U61" s="71"/>
      <c r="V61" s="71"/>
      <c r="W61" s="71"/>
      <c r="X61" s="71"/>
      <c r="Y61" s="71"/>
      <c r="Z61" s="71"/>
      <c r="AA61" s="71"/>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row>
    <row r="62" spans="1:51" x14ac:dyDescent="0.3">
      <c r="A62" s="22"/>
      <c r="B62" s="71"/>
      <c r="C62" s="24"/>
      <c r="D62" s="31"/>
      <c r="E62" s="24"/>
      <c r="F62" s="24"/>
      <c r="G62" s="24"/>
      <c r="H62" s="31"/>
      <c r="I62" s="24"/>
      <c r="J62" s="24"/>
      <c r="K62" s="24"/>
      <c r="L62" s="31"/>
      <c r="M62" s="78"/>
      <c r="N62" s="78"/>
      <c r="O62" s="24"/>
      <c r="P62" s="24"/>
      <c r="Q62" s="24"/>
      <c r="R62" s="71"/>
      <c r="S62" s="71"/>
      <c r="T62" s="71"/>
      <c r="U62" s="71"/>
      <c r="V62" s="71"/>
      <c r="W62" s="71"/>
      <c r="X62" s="71"/>
      <c r="Y62" s="71"/>
      <c r="Z62" s="71"/>
      <c r="AA62" s="71"/>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row>
    <row r="63" spans="1:51" x14ac:dyDescent="0.3">
      <c r="A63" s="22"/>
      <c r="B63" s="71"/>
      <c r="C63" s="24"/>
      <c r="D63" s="31"/>
      <c r="E63" s="24"/>
      <c r="F63" s="24"/>
      <c r="G63" s="24"/>
      <c r="H63" s="31"/>
      <c r="I63" s="24"/>
      <c r="J63" s="24"/>
      <c r="K63" s="24"/>
      <c r="L63" s="31"/>
      <c r="M63" s="78"/>
      <c r="N63" s="78"/>
      <c r="O63" s="24"/>
      <c r="P63" s="24"/>
      <c r="Q63" s="24"/>
      <c r="R63" s="71"/>
      <c r="S63" s="71"/>
      <c r="T63" s="71"/>
      <c r="U63" s="71"/>
      <c r="V63" s="71"/>
      <c r="W63" s="71"/>
      <c r="X63" s="71"/>
      <c r="Y63" s="71"/>
      <c r="Z63" s="71"/>
      <c r="AA63" s="71"/>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row>
    <row r="64" spans="1:51" x14ac:dyDescent="0.3">
      <c r="A64" s="22"/>
      <c r="B64" s="71"/>
      <c r="C64" s="24"/>
      <c r="D64" s="31"/>
      <c r="E64" s="24"/>
      <c r="F64" s="24"/>
      <c r="G64" s="24"/>
      <c r="H64" s="31"/>
      <c r="I64" s="24"/>
      <c r="J64" s="24"/>
      <c r="K64" s="24"/>
      <c r="L64" s="31"/>
      <c r="M64" s="78"/>
      <c r="N64" s="78"/>
      <c r="O64" s="24"/>
      <c r="P64" s="24"/>
      <c r="Q64" s="24"/>
      <c r="R64" s="71"/>
      <c r="S64" s="71"/>
      <c r="T64" s="71"/>
      <c r="U64" s="71"/>
      <c r="V64" s="71"/>
      <c r="W64" s="71"/>
      <c r="X64" s="71"/>
      <c r="Y64" s="71"/>
      <c r="Z64" s="71"/>
      <c r="AA64" s="71"/>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row>
    <row r="65" spans="1:51" x14ac:dyDescent="0.3">
      <c r="A65" s="22"/>
      <c r="B65" s="71"/>
      <c r="C65" s="24"/>
      <c r="D65" s="31"/>
      <c r="E65" s="24"/>
      <c r="F65" s="24"/>
      <c r="G65" s="24"/>
      <c r="H65" s="31"/>
      <c r="I65" s="24"/>
      <c r="J65" s="24"/>
      <c r="K65" s="24"/>
      <c r="L65" s="31"/>
      <c r="M65" s="78"/>
      <c r="N65" s="78"/>
      <c r="O65" s="24"/>
      <c r="P65" s="24"/>
      <c r="Q65" s="24"/>
      <c r="R65" s="71"/>
      <c r="S65" s="71"/>
      <c r="T65" s="71"/>
      <c r="U65" s="71"/>
      <c r="V65" s="71"/>
      <c r="W65" s="71"/>
      <c r="X65" s="71"/>
      <c r="Y65" s="71"/>
      <c r="Z65" s="71"/>
      <c r="AA65" s="71"/>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row>
    <row r="66" spans="1:51" x14ac:dyDescent="0.3">
      <c r="A66" s="22"/>
      <c r="B66" s="71"/>
      <c r="C66" s="24"/>
      <c r="D66" s="31"/>
      <c r="E66" s="24"/>
      <c r="F66" s="24"/>
      <c r="G66" s="24"/>
      <c r="H66" s="31"/>
      <c r="I66" s="24"/>
      <c r="J66" s="24"/>
      <c r="K66" s="24"/>
      <c r="L66" s="31"/>
      <c r="M66" s="78"/>
      <c r="N66" s="78"/>
      <c r="O66" s="24"/>
      <c r="P66" s="24"/>
      <c r="Q66" s="24"/>
      <c r="R66" s="71"/>
      <c r="S66" s="71"/>
      <c r="T66" s="71"/>
      <c r="U66" s="71"/>
      <c r="V66" s="71"/>
      <c r="W66" s="71"/>
      <c r="X66" s="71"/>
      <c r="Y66" s="71"/>
      <c r="Z66" s="71"/>
      <c r="AA66" s="71"/>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row>
    <row r="67" spans="1:51" x14ac:dyDescent="0.3">
      <c r="A67" s="22"/>
      <c r="B67" s="71"/>
      <c r="C67" s="24"/>
      <c r="D67" s="31"/>
      <c r="E67" s="24"/>
      <c r="F67" s="24"/>
      <c r="G67" s="24"/>
      <c r="H67" s="31"/>
      <c r="I67" s="24"/>
      <c r="J67" s="24"/>
      <c r="K67" s="24"/>
      <c r="L67" s="31"/>
      <c r="M67" s="78"/>
      <c r="N67" s="78"/>
      <c r="O67" s="24"/>
      <c r="P67" s="24"/>
      <c r="Q67" s="24"/>
      <c r="R67" s="71"/>
      <c r="S67" s="71"/>
      <c r="T67" s="71"/>
      <c r="U67" s="71"/>
      <c r="V67" s="71"/>
      <c r="W67" s="71"/>
      <c r="X67" s="71"/>
      <c r="Y67" s="71"/>
      <c r="Z67" s="71"/>
      <c r="AA67" s="71"/>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row>
    <row r="68" spans="1:51" x14ac:dyDescent="0.3">
      <c r="A68" s="22"/>
      <c r="B68" s="71"/>
      <c r="C68" s="24"/>
      <c r="D68" s="31"/>
      <c r="E68" s="24"/>
      <c r="F68" s="24"/>
      <c r="G68" s="24"/>
      <c r="H68" s="31"/>
      <c r="I68" s="24"/>
      <c r="J68" s="24"/>
      <c r="K68" s="24"/>
      <c r="L68" s="31"/>
      <c r="M68" s="78"/>
      <c r="N68" s="78"/>
      <c r="O68" s="24"/>
      <c r="P68" s="24"/>
      <c r="Q68" s="24"/>
      <c r="R68" s="71"/>
      <c r="S68" s="71"/>
      <c r="T68" s="71"/>
      <c r="U68" s="71"/>
      <c r="V68" s="71"/>
      <c r="W68" s="71"/>
      <c r="X68" s="71"/>
      <c r="Y68" s="71"/>
      <c r="Z68" s="71"/>
      <c r="AA68" s="71"/>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row>
    <row r="69" spans="1:51" x14ac:dyDescent="0.3">
      <c r="A69" s="22"/>
      <c r="B69" s="71"/>
      <c r="C69" s="24"/>
      <c r="D69" s="31"/>
      <c r="E69" s="24"/>
      <c r="F69" s="24"/>
      <c r="G69" s="24"/>
      <c r="H69" s="31"/>
      <c r="I69" s="24"/>
      <c r="J69" s="24"/>
      <c r="K69" s="24"/>
      <c r="L69" s="31"/>
      <c r="M69" s="78"/>
      <c r="N69" s="78"/>
      <c r="O69" s="24"/>
      <c r="P69" s="24"/>
      <c r="Q69" s="24"/>
      <c r="R69" s="71"/>
      <c r="S69" s="71"/>
      <c r="T69" s="71"/>
      <c r="U69" s="71"/>
      <c r="V69" s="71"/>
      <c r="W69" s="71"/>
      <c r="X69" s="71"/>
      <c r="Y69" s="71"/>
      <c r="Z69" s="71"/>
      <c r="AA69" s="71"/>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1:51" x14ac:dyDescent="0.3">
      <c r="A70" s="22"/>
      <c r="B70" s="71"/>
      <c r="C70" s="22"/>
      <c r="D70" s="23"/>
      <c r="E70" s="22"/>
      <c r="F70" s="22"/>
      <c r="G70" s="22"/>
      <c r="H70" s="23"/>
      <c r="I70" s="22"/>
      <c r="J70" s="22"/>
      <c r="K70" s="22"/>
      <c r="L70" s="23"/>
      <c r="M70" s="71"/>
      <c r="N70" s="71"/>
      <c r="O70" s="22"/>
      <c r="P70" s="22"/>
      <c r="Q70" s="22"/>
      <c r="R70" s="71"/>
      <c r="S70" s="71"/>
      <c r="T70" s="71"/>
      <c r="U70" s="71"/>
      <c r="V70" s="71"/>
      <c r="W70" s="71"/>
      <c r="X70" s="71"/>
      <c r="Y70" s="71"/>
      <c r="Z70" s="71"/>
      <c r="AA70" s="71"/>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row>
    <row r="71" spans="1:51" x14ac:dyDescent="0.3">
      <c r="A71" s="22"/>
      <c r="B71" s="71"/>
      <c r="C71" s="22"/>
      <c r="D71" s="23"/>
      <c r="E71" s="22"/>
      <c r="F71" s="22"/>
      <c r="G71" s="22"/>
      <c r="H71" s="23"/>
      <c r="I71" s="22"/>
      <c r="J71" s="22"/>
      <c r="K71" s="22"/>
      <c r="L71" s="23"/>
      <c r="M71" s="71"/>
      <c r="N71" s="71"/>
      <c r="O71" s="22"/>
      <c r="P71" s="22"/>
      <c r="Q71" s="22"/>
      <c r="R71" s="71"/>
      <c r="S71" s="71"/>
      <c r="T71" s="71"/>
      <c r="U71" s="71"/>
      <c r="V71" s="71"/>
      <c r="W71" s="71"/>
      <c r="X71" s="71"/>
      <c r="Y71" s="71"/>
      <c r="Z71" s="71"/>
      <c r="AA71" s="71"/>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x14ac:dyDescent="0.3">
      <c r="A72" s="22"/>
      <c r="B72" s="71"/>
      <c r="C72" s="22"/>
      <c r="D72" s="23"/>
      <c r="E72" s="22"/>
      <c r="F72" s="22"/>
      <c r="G72" s="22"/>
      <c r="H72" s="23"/>
      <c r="I72" s="22"/>
      <c r="J72" s="22"/>
      <c r="K72" s="22"/>
      <c r="L72" s="23"/>
      <c r="M72" s="71"/>
      <c r="N72" s="71"/>
      <c r="O72" s="22"/>
      <c r="P72" s="22"/>
      <c r="Q72" s="22"/>
      <c r="R72" s="71"/>
      <c r="S72" s="71"/>
      <c r="T72" s="71"/>
      <c r="U72" s="71"/>
      <c r="V72" s="71"/>
      <c r="W72" s="71"/>
      <c r="X72" s="71"/>
      <c r="Y72" s="71"/>
      <c r="Z72" s="71"/>
      <c r="AA72" s="71"/>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51" x14ac:dyDescent="0.3">
      <c r="A73" s="22"/>
      <c r="B73" s="71"/>
      <c r="C73" s="22"/>
      <c r="D73" s="23"/>
      <c r="E73" s="22"/>
      <c r="F73" s="22"/>
      <c r="G73" s="22"/>
      <c r="H73" s="23"/>
      <c r="I73" s="22"/>
      <c r="J73" s="22"/>
      <c r="K73" s="22"/>
      <c r="L73" s="23"/>
      <c r="M73" s="71"/>
      <c r="N73" s="71"/>
      <c r="O73" s="22"/>
      <c r="P73" s="22"/>
      <c r="Q73" s="22"/>
      <c r="R73" s="71"/>
      <c r="S73" s="71"/>
      <c r="T73" s="71"/>
      <c r="U73" s="71"/>
      <c r="V73" s="71"/>
      <c r="W73" s="71"/>
      <c r="X73" s="71"/>
      <c r="Y73" s="71"/>
      <c r="Z73" s="71"/>
      <c r="AA73" s="71"/>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row>
    <row r="74" spans="1:51" x14ac:dyDescent="0.3">
      <c r="A74" s="22"/>
      <c r="B74" s="71"/>
      <c r="C74" s="22"/>
      <c r="D74" s="23"/>
      <c r="E74" s="22"/>
      <c r="F74" s="22"/>
      <c r="G74" s="22"/>
      <c r="H74" s="23"/>
      <c r="I74" s="22"/>
      <c r="J74" s="22"/>
      <c r="K74" s="22"/>
      <c r="L74" s="23"/>
      <c r="M74" s="71"/>
      <c r="N74" s="71"/>
      <c r="O74" s="22"/>
      <c r="P74" s="22"/>
      <c r="Q74" s="22"/>
      <c r="R74" s="71"/>
      <c r="S74" s="71"/>
      <c r="T74" s="71"/>
      <c r="U74" s="71"/>
      <c r="V74" s="71"/>
      <c r="W74" s="71"/>
      <c r="X74" s="71"/>
      <c r="Y74" s="71"/>
      <c r="Z74" s="71"/>
      <c r="AA74" s="71"/>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1:51" x14ac:dyDescent="0.3">
      <c r="A75" s="22"/>
      <c r="B75" s="71"/>
      <c r="C75" s="22"/>
      <c r="D75" s="23"/>
      <c r="E75" s="22"/>
      <c r="F75" s="22"/>
      <c r="G75" s="22"/>
      <c r="H75" s="23"/>
      <c r="I75" s="22"/>
      <c r="J75" s="22"/>
      <c r="K75" s="22"/>
      <c r="L75" s="23"/>
      <c r="M75" s="71"/>
      <c r="N75" s="71"/>
      <c r="O75" s="22"/>
      <c r="P75" s="22"/>
      <c r="Q75" s="22"/>
      <c r="R75" s="71"/>
      <c r="S75" s="71"/>
      <c r="T75" s="71"/>
      <c r="U75" s="71"/>
      <c r="V75" s="71"/>
      <c r="W75" s="71"/>
      <c r="X75" s="71"/>
      <c r="Y75" s="71"/>
      <c r="Z75" s="71"/>
      <c r="AA75" s="71"/>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row>
    <row r="76" spans="1:51" x14ac:dyDescent="0.3">
      <c r="A76" s="22"/>
      <c r="B76" s="71"/>
      <c r="C76" s="22"/>
      <c r="D76" s="23"/>
      <c r="E76" s="22"/>
      <c r="F76" s="22"/>
      <c r="G76" s="22"/>
      <c r="H76" s="23"/>
      <c r="I76" s="22"/>
      <c r="J76" s="22"/>
      <c r="K76" s="22"/>
      <c r="L76" s="23"/>
      <c r="M76" s="71"/>
      <c r="N76" s="71"/>
      <c r="O76" s="22"/>
      <c r="P76" s="22"/>
      <c r="Q76" s="22"/>
      <c r="R76" s="71"/>
      <c r="S76" s="71"/>
      <c r="T76" s="71"/>
      <c r="U76" s="71"/>
      <c r="V76" s="71"/>
      <c r="W76" s="71"/>
      <c r="X76" s="71"/>
      <c r="Y76" s="71"/>
      <c r="Z76" s="71"/>
      <c r="AA76" s="71"/>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row>
    <row r="77" spans="1:51" x14ac:dyDescent="0.3">
      <c r="A77" s="22"/>
      <c r="B77" s="71"/>
      <c r="C77" s="22"/>
      <c r="D77" s="23"/>
      <c r="E77" s="22"/>
      <c r="F77" s="22"/>
      <c r="G77" s="22"/>
      <c r="H77" s="23"/>
      <c r="I77" s="22"/>
      <c r="J77" s="22"/>
      <c r="K77" s="22"/>
      <c r="L77" s="23"/>
      <c r="M77" s="71"/>
      <c r="N77" s="71"/>
      <c r="O77" s="22"/>
      <c r="P77" s="22"/>
      <c r="Q77" s="22"/>
      <c r="R77" s="71"/>
      <c r="S77" s="71"/>
      <c r="T77" s="71"/>
      <c r="U77" s="71"/>
      <c r="V77" s="71"/>
      <c r="W77" s="71"/>
      <c r="X77" s="71"/>
      <c r="Y77" s="71"/>
      <c r="Z77" s="71"/>
      <c r="AA77" s="71"/>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row>
    <row r="78" spans="1:51" x14ac:dyDescent="0.3">
      <c r="A78" s="22"/>
      <c r="B78" s="71"/>
      <c r="C78" s="22"/>
      <c r="D78" s="23"/>
      <c r="E78" s="22"/>
      <c r="F78" s="22"/>
      <c r="G78" s="22"/>
      <c r="H78" s="23"/>
      <c r="I78" s="22"/>
      <c r="J78" s="22"/>
      <c r="K78" s="22"/>
      <c r="L78" s="23"/>
      <c r="M78" s="71"/>
      <c r="N78" s="71"/>
      <c r="O78" s="22"/>
      <c r="P78" s="22"/>
      <c r="Q78" s="22"/>
      <c r="R78" s="71"/>
      <c r="S78" s="71"/>
      <c r="T78" s="71"/>
      <c r="U78" s="71"/>
      <c r="V78" s="71"/>
      <c r="W78" s="71"/>
      <c r="X78" s="71"/>
      <c r="Y78" s="71"/>
      <c r="Z78" s="71"/>
      <c r="AA78" s="71"/>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row>
    <row r="79" spans="1:51" x14ac:dyDescent="0.3">
      <c r="A79" s="22"/>
      <c r="B79" s="71"/>
      <c r="C79" s="22"/>
      <c r="D79" s="23"/>
      <c r="E79" s="22"/>
      <c r="F79" s="22"/>
      <c r="G79" s="22"/>
      <c r="H79" s="23"/>
      <c r="I79" s="22"/>
      <c r="J79" s="22"/>
      <c r="K79" s="22"/>
      <c r="L79" s="23"/>
      <c r="M79" s="71"/>
      <c r="N79" s="71"/>
      <c r="O79" s="22"/>
      <c r="P79" s="22"/>
      <c r="Q79" s="22"/>
      <c r="R79" s="71"/>
      <c r="S79" s="71"/>
      <c r="T79" s="71"/>
      <c r="U79" s="71"/>
      <c r="V79" s="71"/>
      <c r="W79" s="71"/>
      <c r="X79" s="71"/>
      <c r="Y79" s="71"/>
      <c r="Z79" s="71"/>
      <c r="AA79" s="71"/>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row>
    <row r="80" spans="1:51" x14ac:dyDescent="0.3">
      <c r="A80" s="22"/>
      <c r="B80" s="71"/>
      <c r="C80" s="22"/>
      <c r="D80" s="23"/>
      <c r="E80" s="22"/>
      <c r="F80" s="22"/>
      <c r="G80" s="22"/>
      <c r="H80" s="23"/>
      <c r="I80" s="22"/>
      <c r="J80" s="22"/>
      <c r="K80" s="22"/>
      <c r="L80" s="23"/>
      <c r="M80" s="71"/>
      <c r="N80" s="71"/>
      <c r="O80" s="22"/>
      <c r="P80" s="22"/>
      <c r="Q80" s="22"/>
      <c r="R80" s="71"/>
      <c r="S80" s="71"/>
      <c r="T80" s="71"/>
      <c r="U80" s="71"/>
      <c r="V80" s="71"/>
      <c r="W80" s="71"/>
      <c r="X80" s="71"/>
      <c r="Y80" s="71"/>
      <c r="Z80" s="71"/>
      <c r="AA80" s="71"/>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row>
    <row r="81" spans="1:51" x14ac:dyDescent="0.3">
      <c r="A81" s="22"/>
      <c r="B81" s="71"/>
      <c r="C81" s="22"/>
      <c r="D81" s="23"/>
      <c r="E81" s="22"/>
      <c r="F81" s="22"/>
      <c r="G81" s="22"/>
      <c r="H81" s="23"/>
      <c r="I81" s="22"/>
      <c r="J81" s="22"/>
      <c r="K81" s="22"/>
      <c r="L81" s="23"/>
      <c r="M81" s="71"/>
      <c r="N81" s="71"/>
      <c r="O81" s="22"/>
      <c r="P81" s="22"/>
      <c r="Q81" s="22"/>
      <c r="R81" s="71"/>
      <c r="S81" s="71"/>
      <c r="T81" s="71"/>
      <c r="U81" s="71"/>
      <c r="V81" s="71"/>
      <c r="W81" s="71"/>
      <c r="X81" s="71"/>
      <c r="Y81" s="71"/>
      <c r="Z81" s="71"/>
      <c r="AA81" s="71"/>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row>
    <row r="82" spans="1:51" x14ac:dyDescent="0.3">
      <c r="A82" s="22"/>
      <c r="B82" s="71"/>
      <c r="C82" s="22"/>
      <c r="D82" s="23"/>
      <c r="E82" s="22"/>
      <c r="F82" s="22"/>
      <c r="G82" s="22"/>
      <c r="H82" s="23"/>
      <c r="I82" s="22"/>
      <c r="J82" s="22"/>
      <c r="K82" s="22"/>
      <c r="L82" s="23"/>
      <c r="M82" s="71"/>
      <c r="N82" s="71"/>
      <c r="O82" s="22"/>
      <c r="P82" s="22"/>
      <c r="Q82" s="22"/>
      <c r="R82" s="71"/>
      <c r="S82" s="71"/>
      <c r="T82" s="71"/>
      <c r="U82" s="71"/>
      <c r="V82" s="71"/>
      <c r="W82" s="71"/>
      <c r="X82" s="71"/>
      <c r="Y82" s="71"/>
      <c r="Z82" s="71"/>
      <c r="AA82" s="71"/>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row>
    <row r="83" spans="1:51" x14ac:dyDescent="0.3">
      <c r="A83" s="22"/>
      <c r="B83" s="71"/>
      <c r="C83" s="22"/>
      <c r="D83" s="23"/>
      <c r="E83" s="22"/>
      <c r="F83" s="22"/>
      <c r="G83" s="22"/>
      <c r="H83" s="23"/>
      <c r="I83" s="22"/>
      <c r="J83" s="22"/>
      <c r="K83" s="22"/>
      <c r="L83" s="23"/>
      <c r="M83" s="71"/>
      <c r="N83" s="71"/>
      <c r="O83" s="22"/>
      <c r="P83" s="22"/>
      <c r="Q83" s="22"/>
      <c r="R83" s="71"/>
      <c r="S83" s="71"/>
      <c r="T83" s="71"/>
      <c r="U83" s="71"/>
      <c r="V83" s="71"/>
      <c r="W83" s="71"/>
      <c r="X83" s="71"/>
      <c r="Y83" s="71"/>
      <c r="Z83" s="71"/>
      <c r="AA83" s="71"/>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row>
    <row r="84" spans="1:51" x14ac:dyDescent="0.3">
      <c r="A84" s="22"/>
      <c r="B84" s="71"/>
      <c r="C84" s="22"/>
      <c r="D84" s="23"/>
      <c r="E84" s="22"/>
      <c r="F84" s="22"/>
      <c r="G84" s="22"/>
      <c r="H84" s="23"/>
      <c r="I84" s="22"/>
      <c r="J84" s="22"/>
      <c r="K84" s="22"/>
      <c r="L84" s="23"/>
      <c r="M84" s="71"/>
      <c r="N84" s="71"/>
      <c r="O84" s="22"/>
      <c r="P84" s="22"/>
      <c r="Q84" s="22"/>
      <c r="R84" s="71"/>
      <c r="S84" s="71"/>
      <c r="T84" s="71"/>
      <c r="U84" s="71"/>
      <c r="V84" s="71"/>
      <c r="W84" s="71"/>
      <c r="X84" s="71"/>
      <c r="Y84" s="71"/>
      <c r="Z84" s="71"/>
      <c r="AA84" s="71"/>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row>
    <row r="85" spans="1:51" x14ac:dyDescent="0.3">
      <c r="A85" s="22"/>
      <c r="B85" s="71"/>
      <c r="C85" s="22"/>
      <c r="D85" s="23"/>
      <c r="E85" s="22"/>
      <c r="F85" s="22"/>
      <c r="G85" s="22"/>
      <c r="H85" s="23"/>
      <c r="I85" s="22"/>
      <c r="J85" s="22"/>
      <c r="K85" s="22"/>
      <c r="L85" s="23"/>
      <c r="M85" s="71"/>
      <c r="N85" s="71"/>
      <c r="O85" s="22"/>
      <c r="P85" s="22"/>
      <c r="Q85" s="22"/>
      <c r="R85" s="71"/>
      <c r="S85" s="71"/>
      <c r="T85" s="71"/>
      <c r="U85" s="71"/>
      <c r="V85" s="71"/>
      <c r="W85" s="71"/>
      <c r="X85" s="71"/>
      <c r="Y85" s="71"/>
      <c r="Z85" s="71"/>
      <c r="AA85" s="71"/>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row>
    <row r="86" spans="1:51" x14ac:dyDescent="0.3">
      <c r="A86" s="22"/>
      <c r="B86" s="71"/>
      <c r="C86" s="22"/>
      <c r="D86" s="23"/>
      <c r="E86" s="22"/>
      <c r="F86" s="22"/>
      <c r="G86" s="22"/>
      <c r="H86" s="23"/>
      <c r="I86" s="22"/>
      <c r="J86" s="22"/>
      <c r="K86" s="22"/>
      <c r="L86" s="23"/>
      <c r="M86" s="71"/>
      <c r="N86" s="71"/>
      <c r="O86" s="22"/>
      <c r="P86" s="22"/>
      <c r="Q86" s="22"/>
      <c r="R86" s="71"/>
      <c r="S86" s="71"/>
      <c r="T86" s="71"/>
      <c r="U86" s="71"/>
      <c r="V86" s="71"/>
      <c r="W86" s="71"/>
      <c r="X86" s="71"/>
      <c r="Y86" s="71"/>
      <c r="Z86" s="71"/>
      <c r="AA86" s="71"/>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row>
    <row r="87" spans="1:51" x14ac:dyDescent="0.3">
      <c r="A87" s="22"/>
      <c r="B87" s="71"/>
      <c r="C87" s="22"/>
      <c r="D87" s="23"/>
      <c r="E87" s="22"/>
      <c r="F87" s="22"/>
      <c r="G87" s="22"/>
      <c r="H87" s="23"/>
      <c r="I87" s="22"/>
      <c r="J87" s="22"/>
      <c r="K87" s="22"/>
      <c r="L87" s="23"/>
      <c r="M87" s="71"/>
      <c r="N87" s="71"/>
      <c r="O87" s="22"/>
      <c r="P87" s="22"/>
      <c r="Q87" s="22"/>
      <c r="R87" s="71"/>
      <c r="S87" s="71"/>
      <c r="T87" s="71"/>
      <c r="U87" s="71"/>
      <c r="V87" s="71"/>
      <c r="W87" s="71"/>
      <c r="X87" s="71"/>
      <c r="Y87" s="71"/>
      <c r="Z87" s="71"/>
      <c r="AA87" s="71"/>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row>
    <row r="88" spans="1:51" x14ac:dyDescent="0.3">
      <c r="A88" s="22"/>
      <c r="B88" s="71"/>
      <c r="C88" s="22"/>
      <c r="D88" s="23"/>
      <c r="E88" s="22"/>
      <c r="F88" s="22"/>
      <c r="G88" s="22"/>
      <c r="H88" s="23"/>
      <c r="I88" s="22"/>
      <c r="J88" s="22"/>
      <c r="K88" s="22"/>
      <c r="L88" s="23"/>
      <c r="M88" s="71"/>
      <c r="N88" s="71"/>
      <c r="O88" s="22"/>
      <c r="P88" s="22"/>
      <c r="Q88" s="22"/>
      <c r="R88" s="71"/>
      <c r="S88" s="71"/>
      <c r="T88" s="71"/>
      <c r="U88" s="71"/>
      <c r="V88" s="71"/>
      <c r="W88" s="71"/>
      <c r="X88" s="71"/>
      <c r="Y88" s="71"/>
      <c r="Z88" s="71"/>
      <c r="AA88" s="71"/>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row>
    <row r="89" spans="1:51" x14ac:dyDescent="0.3">
      <c r="A89" s="22"/>
      <c r="B89" s="71"/>
      <c r="C89" s="22"/>
      <c r="D89" s="23"/>
      <c r="E89" s="22"/>
      <c r="F89" s="22"/>
      <c r="G89" s="22"/>
      <c r="H89" s="23"/>
      <c r="I89" s="22"/>
      <c r="J89" s="22"/>
      <c r="K89" s="22"/>
      <c r="L89" s="23"/>
      <c r="M89" s="71"/>
      <c r="N89" s="71"/>
      <c r="O89" s="22"/>
      <c r="P89" s="22"/>
      <c r="Q89" s="22"/>
      <c r="R89" s="71"/>
      <c r="S89" s="71"/>
      <c r="T89" s="71"/>
      <c r="U89" s="71"/>
      <c r="V89" s="71"/>
      <c r="W89" s="71"/>
      <c r="X89" s="71"/>
      <c r="Y89" s="71"/>
      <c r="Z89" s="71"/>
      <c r="AA89" s="71"/>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row>
    <row r="90" spans="1:51" x14ac:dyDescent="0.3">
      <c r="A90" s="22"/>
      <c r="B90" s="71"/>
      <c r="C90" s="22"/>
      <c r="D90" s="23"/>
      <c r="E90" s="22"/>
      <c r="F90" s="22"/>
      <c r="G90" s="22"/>
      <c r="H90" s="23"/>
      <c r="I90" s="22"/>
      <c r="J90" s="22"/>
      <c r="K90" s="22"/>
      <c r="L90" s="23"/>
      <c r="M90" s="71"/>
      <c r="N90" s="71"/>
      <c r="O90" s="22"/>
      <c r="P90" s="22"/>
      <c r="Q90" s="22"/>
      <c r="R90" s="71"/>
      <c r="S90" s="71"/>
      <c r="T90" s="71"/>
      <c r="U90" s="71"/>
      <c r="V90" s="71"/>
      <c r="W90" s="71"/>
      <c r="X90" s="71"/>
      <c r="Y90" s="71"/>
      <c r="Z90" s="71"/>
      <c r="AA90" s="71"/>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row>
    <row r="91" spans="1:51" x14ac:dyDescent="0.3">
      <c r="A91" s="22"/>
      <c r="B91" s="71"/>
      <c r="C91" s="22"/>
      <c r="D91" s="23"/>
      <c r="E91" s="22"/>
      <c r="F91" s="22"/>
      <c r="G91" s="22"/>
      <c r="H91" s="23"/>
      <c r="I91" s="22"/>
      <c r="J91" s="22"/>
      <c r="K91" s="22"/>
      <c r="L91" s="23"/>
      <c r="M91" s="71"/>
      <c r="N91" s="71"/>
      <c r="O91" s="22"/>
      <c r="P91" s="22"/>
      <c r="Q91" s="22"/>
      <c r="R91" s="71"/>
      <c r="S91" s="71"/>
      <c r="T91" s="71"/>
      <c r="U91" s="71"/>
      <c r="V91" s="71"/>
      <c r="W91" s="71"/>
      <c r="X91" s="71"/>
      <c r="Y91" s="71"/>
      <c r="Z91" s="71"/>
      <c r="AA91" s="71"/>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row>
    <row r="92" spans="1:51" x14ac:dyDescent="0.3">
      <c r="A92" s="22"/>
      <c r="B92" s="71"/>
      <c r="C92" s="22"/>
      <c r="D92" s="23"/>
      <c r="E92" s="22"/>
      <c r="F92" s="22"/>
      <c r="G92" s="22"/>
      <c r="H92" s="23"/>
      <c r="I92" s="22"/>
      <c r="J92" s="22"/>
      <c r="K92" s="22"/>
      <c r="L92" s="23"/>
      <c r="M92" s="71"/>
      <c r="N92" s="71"/>
      <c r="O92" s="22"/>
      <c r="P92" s="22"/>
      <c r="Q92" s="22"/>
      <c r="R92" s="71"/>
      <c r="S92" s="71"/>
      <c r="T92" s="71"/>
      <c r="U92" s="71"/>
      <c r="V92" s="71"/>
      <c r="W92" s="71"/>
      <c r="X92" s="71"/>
      <c r="Y92" s="71"/>
      <c r="Z92" s="71"/>
      <c r="AA92" s="71"/>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row>
    <row r="93" spans="1:51" x14ac:dyDescent="0.3">
      <c r="A93" s="22"/>
      <c r="B93" s="71"/>
      <c r="C93" s="22"/>
      <c r="D93" s="23"/>
      <c r="E93" s="22"/>
      <c r="F93" s="22"/>
      <c r="G93" s="22"/>
      <c r="H93" s="23"/>
      <c r="I93" s="22"/>
      <c r="J93" s="22"/>
      <c r="K93" s="22"/>
      <c r="L93" s="23"/>
      <c r="M93" s="71"/>
      <c r="N93" s="71"/>
      <c r="O93" s="22"/>
      <c r="P93" s="22"/>
      <c r="Q93" s="22"/>
      <c r="R93" s="71"/>
      <c r="S93" s="71"/>
      <c r="T93" s="71"/>
      <c r="U93" s="71"/>
      <c r="V93" s="71"/>
      <c r="W93" s="71"/>
      <c r="X93" s="71"/>
      <c r="Y93" s="71"/>
      <c r="Z93" s="71"/>
      <c r="AA93" s="71"/>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row>
    <row r="94" spans="1:51" x14ac:dyDescent="0.3">
      <c r="A94" s="22"/>
      <c r="B94" s="71"/>
      <c r="C94" s="22"/>
      <c r="D94" s="23"/>
      <c r="E94" s="22"/>
      <c r="F94" s="22"/>
      <c r="G94" s="22"/>
      <c r="H94" s="23"/>
      <c r="I94" s="22"/>
      <c r="J94" s="22"/>
      <c r="K94" s="22"/>
      <c r="L94" s="23"/>
      <c r="M94" s="71"/>
      <c r="N94" s="71"/>
      <c r="O94" s="22"/>
      <c r="P94" s="22"/>
      <c r="Q94" s="22"/>
      <c r="R94" s="71"/>
      <c r="S94" s="71"/>
      <c r="T94" s="71"/>
      <c r="U94" s="71"/>
      <c r="V94" s="71"/>
      <c r="W94" s="71"/>
      <c r="X94" s="71"/>
      <c r="Y94" s="71"/>
      <c r="Z94" s="71"/>
      <c r="AA94" s="71"/>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row>
    <row r="95" spans="1:51" x14ac:dyDescent="0.3">
      <c r="A95" s="22"/>
      <c r="B95" s="71"/>
      <c r="C95" s="22"/>
      <c r="D95" s="23"/>
      <c r="E95" s="22"/>
      <c r="F95" s="22"/>
      <c r="G95" s="22"/>
      <c r="H95" s="23"/>
      <c r="I95" s="22"/>
      <c r="J95" s="22"/>
      <c r="K95" s="22"/>
      <c r="L95" s="23"/>
      <c r="M95" s="71"/>
      <c r="N95" s="71"/>
      <c r="O95" s="22"/>
      <c r="P95" s="22"/>
      <c r="Q95" s="22"/>
      <c r="R95" s="71"/>
      <c r="S95" s="71"/>
      <c r="T95" s="71"/>
      <c r="U95" s="71"/>
      <c r="V95" s="71"/>
      <c r="W95" s="71"/>
      <c r="X95" s="71"/>
      <c r="Y95" s="71"/>
      <c r="Z95" s="71"/>
      <c r="AA95" s="71"/>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row>
    <row r="96" spans="1:51" x14ac:dyDescent="0.3">
      <c r="A96" s="22"/>
      <c r="B96" s="71"/>
      <c r="C96" s="22"/>
      <c r="D96" s="23"/>
      <c r="E96" s="22"/>
      <c r="F96" s="22"/>
      <c r="G96" s="22"/>
      <c r="H96" s="23"/>
      <c r="I96" s="22"/>
      <c r="J96" s="22"/>
      <c r="K96" s="22"/>
      <c r="L96" s="23"/>
      <c r="M96" s="71"/>
      <c r="N96" s="71"/>
      <c r="O96" s="22"/>
      <c r="P96" s="22"/>
      <c r="Q96" s="22"/>
      <c r="R96" s="71"/>
      <c r="S96" s="71"/>
      <c r="T96" s="71"/>
      <c r="U96" s="71"/>
      <c r="V96" s="71"/>
      <c r="W96" s="71"/>
      <c r="X96" s="71"/>
      <c r="Y96" s="71"/>
      <c r="Z96" s="71"/>
      <c r="AA96" s="71"/>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row>
    <row r="97" spans="1:51" x14ac:dyDescent="0.3">
      <c r="A97" s="22"/>
      <c r="B97" s="71"/>
      <c r="C97" s="22"/>
      <c r="D97" s="23"/>
      <c r="E97" s="22"/>
      <c r="F97" s="22"/>
      <c r="G97" s="22"/>
      <c r="H97" s="23"/>
      <c r="I97" s="22"/>
      <c r="J97" s="22"/>
      <c r="K97" s="22"/>
      <c r="L97" s="23"/>
      <c r="M97" s="71"/>
      <c r="N97" s="71"/>
      <c r="O97" s="22"/>
      <c r="P97" s="22"/>
      <c r="Q97" s="22"/>
      <c r="R97" s="71"/>
      <c r="S97" s="71"/>
      <c r="T97" s="71"/>
      <c r="U97" s="71"/>
      <c r="V97" s="71"/>
      <c r="W97" s="71"/>
      <c r="X97" s="71"/>
      <c r="Y97" s="71"/>
      <c r="Z97" s="71"/>
      <c r="AA97" s="71"/>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row>
    <row r="98" spans="1:51" x14ac:dyDescent="0.3">
      <c r="A98" s="22"/>
      <c r="B98" s="71"/>
      <c r="C98" s="22"/>
      <c r="D98" s="23"/>
      <c r="E98" s="22"/>
      <c r="F98" s="22"/>
      <c r="G98" s="22"/>
      <c r="H98" s="23"/>
      <c r="I98" s="22"/>
      <c r="J98" s="22"/>
      <c r="K98" s="22"/>
      <c r="L98" s="23"/>
      <c r="M98" s="71"/>
      <c r="N98" s="71"/>
      <c r="O98" s="22"/>
      <c r="P98" s="22"/>
      <c r="Q98" s="22"/>
      <c r="R98" s="71"/>
      <c r="S98" s="71"/>
      <c r="T98" s="71"/>
      <c r="U98" s="71"/>
      <c r="V98" s="71"/>
      <c r="W98" s="71"/>
      <c r="X98" s="71"/>
      <c r="Y98" s="71"/>
      <c r="Z98" s="71"/>
      <c r="AA98" s="71"/>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row>
    <row r="99" spans="1:51" x14ac:dyDescent="0.3">
      <c r="A99" s="22"/>
      <c r="B99" s="71"/>
      <c r="C99" s="22"/>
      <c r="D99" s="23"/>
      <c r="E99" s="22"/>
      <c r="F99" s="22"/>
      <c r="G99" s="22"/>
      <c r="H99" s="23"/>
      <c r="I99" s="22"/>
      <c r="J99" s="22"/>
      <c r="K99" s="22"/>
      <c r="L99" s="23"/>
      <c r="M99" s="71"/>
      <c r="N99" s="71"/>
      <c r="O99" s="22"/>
      <c r="P99" s="22"/>
      <c r="Q99" s="22"/>
      <c r="R99" s="71"/>
      <c r="S99" s="71"/>
      <c r="T99" s="71"/>
      <c r="U99" s="71"/>
      <c r="V99" s="71"/>
      <c r="W99" s="71"/>
      <c r="X99" s="71"/>
      <c r="Y99" s="71"/>
      <c r="Z99" s="71"/>
      <c r="AA99" s="71"/>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row>
    <row r="100" spans="1:51" x14ac:dyDescent="0.3">
      <c r="A100" s="22"/>
      <c r="B100" s="71"/>
      <c r="C100" s="22"/>
      <c r="D100" s="23"/>
      <c r="E100" s="22"/>
      <c r="F100" s="22"/>
      <c r="G100" s="22"/>
      <c r="H100" s="23"/>
      <c r="I100" s="22"/>
      <c r="J100" s="22"/>
      <c r="K100" s="22"/>
      <c r="L100" s="23"/>
      <c r="M100" s="71"/>
      <c r="N100" s="71"/>
      <c r="O100" s="22"/>
      <c r="P100" s="22"/>
      <c r="Q100" s="22"/>
      <c r="R100" s="71"/>
      <c r="S100" s="71"/>
      <c r="T100" s="71"/>
      <c r="U100" s="71"/>
      <c r="V100" s="71"/>
      <c r="W100" s="71"/>
      <c r="X100" s="71"/>
      <c r="Y100" s="71"/>
      <c r="Z100" s="71"/>
      <c r="AA100" s="71"/>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row>
    <row r="101" spans="1:51" x14ac:dyDescent="0.3">
      <c r="A101" s="22"/>
      <c r="B101" s="71"/>
      <c r="C101" s="22"/>
      <c r="D101" s="23"/>
      <c r="E101" s="22"/>
      <c r="F101" s="22"/>
      <c r="G101" s="22"/>
      <c r="H101" s="23"/>
      <c r="I101" s="22"/>
      <c r="J101" s="22"/>
      <c r="K101" s="22"/>
      <c r="L101" s="23"/>
      <c r="M101" s="71"/>
      <c r="N101" s="71"/>
      <c r="O101" s="22"/>
      <c r="P101" s="22"/>
      <c r="Q101" s="22"/>
      <c r="R101" s="71"/>
      <c r="S101" s="71"/>
      <c r="T101" s="71"/>
      <c r="U101" s="71"/>
      <c r="V101" s="71"/>
      <c r="W101" s="71"/>
      <c r="X101" s="71"/>
      <c r="Y101" s="71"/>
      <c r="Z101" s="71"/>
      <c r="AA101" s="71"/>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row>
    <row r="102" spans="1:51" x14ac:dyDescent="0.3">
      <c r="A102" s="22"/>
      <c r="B102" s="71"/>
      <c r="C102" s="22"/>
      <c r="D102" s="23"/>
      <c r="E102" s="22"/>
      <c r="F102" s="22"/>
      <c r="G102" s="22"/>
      <c r="H102" s="23"/>
      <c r="I102" s="22"/>
      <c r="J102" s="22"/>
      <c r="K102" s="22"/>
      <c r="L102" s="23"/>
      <c r="M102" s="71"/>
      <c r="N102" s="71"/>
      <c r="O102" s="22"/>
      <c r="P102" s="22"/>
      <c r="Q102" s="22"/>
      <c r="R102" s="71"/>
      <c r="S102" s="71"/>
      <c r="T102" s="71"/>
      <c r="U102" s="71"/>
      <c r="V102" s="71"/>
      <c r="W102" s="71"/>
      <c r="X102" s="71"/>
      <c r="Y102" s="71"/>
      <c r="Z102" s="71"/>
      <c r="AA102" s="71"/>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row>
    <row r="103" spans="1:51" x14ac:dyDescent="0.3">
      <c r="A103" s="22"/>
      <c r="B103" s="71"/>
      <c r="C103" s="22"/>
      <c r="D103" s="23"/>
      <c r="E103" s="22"/>
      <c r="F103" s="22"/>
      <c r="G103" s="22"/>
      <c r="H103" s="23"/>
      <c r="I103" s="22"/>
      <c r="J103" s="22"/>
      <c r="K103" s="22"/>
      <c r="L103" s="23"/>
      <c r="M103" s="71"/>
      <c r="N103" s="71"/>
      <c r="O103" s="22"/>
      <c r="P103" s="22"/>
      <c r="Q103" s="22"/>
      <c r="R103" s="71"/>
      <c r="S103" s="71"/>
      <c r="T103" s="71"/>
      <c r="U103" s="71"/>
      <c r="V103" s="71"/>
      <c r="W103" s="71"/>
      <c r="X103" s="71"/>
      <c r="Y103" s="71"/>
      <c r="Z103" s="71"/>
      <c r="AA103" s="71"/>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row>
    <row r="104" spans="1:51" x14ac:dyDescent="0.3">
      <c r="A104" s="22"/>
      <c r="B104" s="71"/>
      <c r="C104" s="22"/>
      <c r="D104" s="23"/>
      <c r="E104" s="22"/>
      <c r="F104" s="22"/>
      <c r="G104" s="22"/>
      <c r="H104" s="23"/>
      <c r="I104" s="22"/>
      <c r="J104" s="22"/>
      <c r="K104" s="22"/>
      <c r="L104" s="23"/>
      <c r="M104" s="71"/>
      <c r="N104" s="71"/>
      <c r="O104" s="22"/>
      <c r="P104" s="22"/>
      <c r="Q104" s="22"/>
      <c r="R104" s="71"/>
      <c r="S104" s="71"/>
      <c r="T104" s="71"/>
      <c r="U104" s="71"/>
      <c r="V104" s="71"/>
      <c r="W104" s="71"/>
      <c r="X104" s="71"/>
      <c r="Y104" s="71"/>
      <c r="Z104" s="71"/>
      <c r="AA104" s="71"/>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row>
    <row r="105" spans="1:51" x14ac:dyDescent="0.3">
      <c r="A105" s="22"/>
      <c r="B105" s="71"/>
      <c r="C105" s="22"/>
      <c r="D105" s="23"/>
      <c r="E105" s="22"/>
      <c r="F105" s="22"/>
      <c r="G105" s="22"/>
      <c r="H105" s="23"/>
      <c r="I105" s="22"/>
      <c r="J105" s="22"/>
      <c r="K105" s="22"/>
      <c r="L105" s="23"/>
      <c r="M105" s="71"/>
      <c r="N105" s="71"/>
      <c r="O105" s="22"/>
      <c r="P105" s="22"/>
      <c r="Q105" s="22"/>
      <c r="R105" s="71"/>
      <c r="S105" s="71"/>
      <c r="T105" s="71"/>
      <c r="U105" s="71"/>
      <c r="V105" s="71"/>
      <c r="W105" s="71"/>
      <c r="X105" s="71"/>
      <c r="Y105" s="71"/>
      <c r="Z105" s="71"/>
      <c r="AA105" s="71"/>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row>
    <row r="106" spans="1:51" x14ac:dyDescent="0.3">
      <c r="A106" s="22"/>
      <c r="B106" s="71"/>
      <c r="C106" s="22"/>
      <c r="D106" s="23"/>
      <c r="E106" s="22"/>
      <c r="F106" s="22"/>
      <c r="G106" s="22"/>
      <c r="H106" s="23"/>
      <c r="I106" s="22"/>
      <c r="J106" s="22"/>
      <c r="K106" s="22"/>
      <c r="L106" s="23"/>
      <c r="M106" s="71"/>
      <c r="N106" s="71"/>
      <c r="O106" s="22"/>
      <c r="P106" s="22"/>
      <c r="Q106" s="22"/>
      <c r="R106" s="71"/>
      <c r="S106" s="71"/>
      <c r="T106" s="71"/>
      <c r="U106" s="71"/>
      <c r="V106" s="71"/>
      <c r="W106" s="71"/>
      <c r="X106" s="71"/>
      <c r="Y106" s="71"/>
      <c r="Z106" s="71"/>
      <c r="AA106" s="71"/>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row>
    <row r="107" spans="1:51" x14ac:dyDescent="0.3">
      <c r="A107" s="22"/>
      <c r="B107" s="71"/>
      <c r="C107" s="22"/>
      <c r="D107" s="23"/>
      <c r="E107" s="22"/>
      <c r="F107" s="22"/>
      <c r="G107" s="22"/>
      <c r="H107" s="23"/>
      <c r="I107" s="22"/>
      <c r="J107" s="22"/>
      <c r="K107" s="22"/>
      <c r="L107" s="23"/>
      <c r="M107" s="71"/>
      <c r="N107" s="71"/>
      <c r="O107" s="22"/>
      <c r="P107" s="22"/>
      <c r="Q107" s="22"/>
      <c r="R107" s="71"/>
      <c r="S107" s="71"/>
      <c r="T107" s="71"/>
      <c r="U107" s="71"/>
      <c r="V107" s="71"/>
      <c r="W107" s="71"/>
      <c r="X107" s="71"/>
      <c r="Y107" s="71"/>
      <c r="Z107" s="71"/>
      <c r="AA107" s="71"/>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row>
    <row r="108" spans="1:51" x14ac:dyDescent="0.3">
      <c r="A108" s="22"/>
      <c r="B108" s="71"/>
      <c r="C108" s="22"/>
      <c r="D108" s="23"/>
      <c r="E108" s="22"/>
      <c r="F108" s="22"/>
      <c r="G108" s="22"/>
      <c r="H108" s="23"/>
      <c r="I108" s="22"/>
      <c r="J108" s="22"/>
      <c r="K108" s="22"/>
      <c r="L108" s="23"/>
      <c r="M108" s="71"/>
      <c r="N108" s="71"/>
      <c r="O108" s="22"/>
      <c r="P108" s="22"/>
      <c r="Q108" s="22"/>
      <c r="R108" s="71"/>
      <c r="S108" s="71"/>
      <c r="T108" s="71"/>
      <c r="U108" s="71"/>
      <c r="V108" s="71"/>
      <c r="W108" s="71"/>
      <c r="X108" s="71"/>
      <c r="Y108" s="71"/>
      <c r="Z108" s="71"/>
      <c r="AA108" s="71"/>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row>
    <row r="109" spans="1:51" x14ac:dyDescent="0.3">
      <c r="A109" s="22"/>
      <c r="B109" s="71"/>
      <c r="C109" s="22"/>
      <c r="D109" s="23"/>
      <c r="E109" s="22"/>
      <c r="F109" s="22"/>
      <c r="G109" s="22"/>
      <c r="H109" s="23"/>
      <c r="I109" s="22"/>
      <c r="J109" s="22"/>
      <c r="K109" s="22"/>
      <c r="L109" s="23"/>
      <c r="M109" s="71"/>
      <c r="N109" s="71"/>
      <c r="O109" s="22"/>
      <c r="P109" s="22"/>
      <c r="Q109" s="22"/>
      <c r="R109" s="71"/>
      <c r="S109" s="71"/>
      <c r="T109" s="71"/>
      <c r="U109" s="71"/>
      <c r="V109" s="71"/>
      <c r="W109" s="71"/>
      <c r="X109" s="71"/>
      <c r="Y109" s="71"/>
      <c r="Z109" s="71"/>
      <c r="AA109" s="71"/>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row>
    <row r="110" spans="1:51" x14ac:dyDescent="0.3">
      <c r="A110" s="22"/>
      <c r="B110" s="71"/>
      <c r="C110" s="22"/>
      <c r="D110" s="23"/>
      <c r="E110" s="22"/>
      <c r="F110" s="22"/>
      <c r="G110" s="22"/>
      <c r="H110" s="23"/>
      <c r="I110" s="22"/>
      <c r="J110" s="22"/>
      <c r="K110" s="22"/>
      <c r="L110" s="23"/>
      <c r="M110" s="71"/>
      <c r="N110" s="71"/>
      <c r="O110" s="22"/>
      <c r="P110" s="22"/>
      <c r="Q110" s="22"/>
      <c r="R110" s="71"/>
      <c r="S110" s="71"/>
      <c r="T110" s="71"/>
      <c r="U110" s="71"/>
      <c r="V110" s="71"/>
      <c r="W110" s="71"/>
      <c r="X110" s="71"/>
      <c r="Y110" s="71"/>
      <c r="Z110" s="71"/>
      <c r="AA110" s="71"/>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row>
    <row r="111" spans="1:51" x14ac:dyDescent="0.3">
      <c r="A111" s="22"/>
      <c r="B111" s="71"/>
      <c r="C111" s="22"/>
      <c r="D111" s="23"/>
      <c r="E111" s="22"/>
      <c r="F111" s="22"/>
      <c r="G111" s="22"/>
      <c r="H111" s="23"/>
      <c r="I111" s="22"/>
      <c r="J111" s="22"/>
      <c r="K111" s="22"/>
      <c r="L111" s="23"/>
      <c r="M111" s="71"/>
      <c r="N111" s="71"/>
      <c r="O111" s="22"/>
      <c r="P111" s="22"/>
      <c r="Q111" s="22"/>
      <c r="R111" s="71"/>
      <c r="S111" s="71"/>
      <c r="T111" s="71"/>
      <c r="U111" s="71"/>
      <c r="V111" s="71"/>
      <c r="W111" s="71"/>
      <c r="X111" s="71"/>
      <c r="Y111" s="71"/>
      <c r="Z111" s="71"/>
      <c r="AA111" s="71"/>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row>
    <row r="112" spans="1:51" x14ac:dyDescent="0.3">
      <c r="A112" s="22"/>
      <c r="B112" s="71"/>
      <c r="C112" s="22"/>
      <c r="D112" s="23"/>
      <c r="E112" s="22"/>
      <c r="F112" s="22"/>
      <c r="G112" s="22"/>
      <c r="H112" s="23"/>
      <c r="I112" s="22"/>
      <c r="J112" s="22"/>
      <c r="K112" s="22"/>
      <c r="L112" s="23"/>
      <c r="M112" s="71"/>
      <c r="N112" s="71"/>
      <c r="O112" s="22"/>
      <c r="P112" s="22"/>
      <c r="Q112" s="22"/>
      <c r="R112" s="71"/>
      <c r="S112" s="71"/>
      <c r="T112" s="71"/>
      <c r="U112" s="71"/>
      <c r="V112" s="71"/>
      <c r="W112" s="71"/>
      <c r="X112" s="71"/>
      <c r="Y112" s="71"/>
      <c r="Z112" s="71"/>
      <c r="AA112" s="71"/>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row>
    <row r="113" spans="1:51" x14ac:dyDescent="0.3">
      <c r="A113" s="22"/>
      <c r="B113" s="71"/>
      <c r="C113" s="22"/>
      <c r="D113" s="23"/>
      <c r="E113" s="22"/>
      <c r="F113" s="22"/>
      <c r="G113" s="22"/>
      <c r="H113" s="23"/>
      <c r="I113" s="22"/>
      <c r="J113" s="22"/>
      <c r="K113" s="22"/>
      <c r="L113" s="23"/>
      <c r="M113" s="71"/>
      <c r="N113" s="71"/>
      <c r="O113" s="22"/>
      <c r="P113" s="22"/>
      <c r="Q113" s="22"/>
      <c r="R113" s="71"/>
      <c r="S113" s="71"/>
      <c r="T113" s="71"/>
      <c r="U113" s="71"/>
      <c r="V113" s="71"/>
      <c r="W113" s="71"/>
      <c r="X113" s="71"/>
      <c r="Y113" s="71"/>
      <c r="Z113" s="71"/>
      <c r="AA113" s="71"/>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row>
    <row r="114" spans="1:51" x14ac:dyDescent="0.3">
      <c r="A114" s="22"/>
      <c r="B114" s="71"/>
      <c r="C114" s="22"/>
      <c r="D114" s="23"/>
      <c r="E114" s="22"/>
      <c r="F114" s="22"/>
      <c r="G114" s="22"/>
      <c r="H114" s="23"/>
      <c r="I114" s="22"/>
      <c r="J114" s="22"/>
      <c r="K114" s="22"/>
      <c r="L114" s="23"/>
      <c r="M114" s="71"/>
      <c r="N114" s="71"/>
      <c r="O114" s="22"/>
      <c r="P114" s="22"/>
      <c r="Q114" s="22"/>
      <c r="R114" s="71"/>
      <c r="S114" s="71"/>
      <c r="T114" s="71"/>
      <c r="U114" s="71"/>
      <c r="V114" s="71"/>
      <c r="W114" s="71"/>
      <c r="X114" s="71"/>
      <c r="Y114" s="71"/>
      <c r="Z114" s="71"/>
      <c r="AA114" s="71"/>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row>
    <row r="115" spans="1:51" x14ac:dyDescent="0.3">
      <c r="A115" s="22"/>
      <c r="B115" s="71"/>
      <c r="C115" s="22"/>
      <c r="D115" s="23"/>
      <c r="E115" s="22"/>
      <c r="F115" s="22"/>
      <c r="G115" s="22"/>
      <c r="H115" s="23"/>
      <c r="I115" s="22"/>
      <c r="J115" s="22"/>
      <c r="K115" s="22"/>
      <c r="L115" s="23"/>
      <c r="M115" s="71"/>
      <c r="N115" s="71"/>
      <c r="O115" s="22"/>
      <c r="P115" s="22"/>
      <c r="Q115" s="22"/>
      <c r="R115" s="71"/>
      <c r="S115" s="71"/>
      <c r="T115" s="71"/>
      <c r="U115" s="71"/>
      <c r="V115" s="71"/>
      <c r="W115" s="71"/>
      <c r="X115" s="71"/>
      <c r="Y115" s="71"/>
      <c r="Z115" s="71"/>
      <c r="AA115" s="71"/>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row>
    <row r="116" spans="1:51" x14ac:dyDescent="0.3">
      <c r="A116" s="22"/>
      <c r="B116" s="71"/>
      <c r="C116" s="22"/>
      <c r="D116" s="23"/>
      <c r="E116" s="22"/>
      <c r="F116" s="22"/>
      <c r="G116" s="22"/>
      <c r="H116" s="23"/>
      <c r="I116" s="22"/>
      <c r="J116" s="22"/>
      <c r="K116" s="22"/>
      <c r="L116" s="23"/>
      <c r="M116" s="71"/>
      <c r="N116" s="71"/>
      <c r="O116" s="22"/>
      <c r="P116" s="22"/>
      <c r="Q116" s="22"/>
      <c r="R116" s="71"/>
      <c r="S116" s="71"/>
      <c r="T116" s="71"/>
      <c r="U116" s="71"/>
      <c r="V116" s="71"/>
      <c r="W116" s="71"/>
      <c r="X116" s="71"/>
      <c r="Y116" s="71"/>
      <c r="Z116" s="71"/>
      <c r="AA116" s="71"/>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row>
    <row r="117" spans="1:51" x14ac:dyDescent="0.3">
      <c r="A117" s="22"/>
      <c r="B117" s="71"/>
      <c r="C117" s="22"/>
      <c r="D117" s="23"/>
      <c r="E117" s="22"/>
      <c r="F117" s="22"/>
      <c r="G117" s="22"/>
      <c r="H117" s="23"/>
      <c r="I117" s="22"/>
      <c r="J117" s="22"/>
      <c r="K117" s="22"/>
      <c r="L117" s="23"/>
      <c r="M117" s="71"/>
      <c r="N117" s="71"/>
      <c r="O117" s="22"/>
      <c r="P117" s="22"/>
      <c r="Q117" s="22"/>
      <c r="R117" s="71"/>
      <c r="S117" s="71"/>
      <c r="T117" s="71"/>
      <c r="U117" s="71"/>
      <c r="V117" s="71"/>
      <c r="W117" s="71"/>
      <c r="X117" s="71"/>
      <c r="Y117" s="71"/>
      <c r="Z117" s="71"/>
      <c r="AA117" s="71"/>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row>
    <row r="118" spans="1:51" x14ac:dyDescent="0.3">
      <c r="A118" s="22"/>
      <c r="B118" s="71"/>
      <c r="C118" s="22"/>
      <c r="D118" s="23"/>
      <c r="E118" s="22"/>
      <c r="F118" s="22"/>
      <c r="G118" s="22"/>
      <c r="H118" s="23"/>
      <c r="I118" s="22"/>
      <c r="J118" s="22"/>
      <c r="K118" s="22"/>
      <c r="L118" s="23"/>
      <c r="M118" s="71"/>
      <c r="N118" s="71"/>
      <c r="O118" s="22"/>
      <c r="P118" s="22"/>
      <c r="Q118" s="22"/>
      <c r="R118" s="71"/>
      <c r="S118" s="71"/>
      <c r="T118" s="71"/>
      <c r="U118" s="71"/>
      <c r="V118" s="71"/>
      <c r="W118" s="71"/>
      <c r="X118" s="71"/>
      <c r="Y118" s="71"/>
      <c r="Z118" s="71"/>
      <c r="AA118" s="71"/>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row>
    <row r="119" spans="1:51" x14ac:dyDescent="0.3">
      <c r="A119" s="22"/>
      <c r="B119" s="71"/>
      <c r="C119" s="22"/>
      <c r="D119" s="23"/>
      <c r="E119" s="22"/>
      <c r="F119" s="22"/>
      <c r="G119" s="22"/>
      <c r="H119" s="23"/>
      <c r="I119" s="22"/>
      <c r="J119" s="22"/>
      <c r="K119" s="22"/>
      <c r="L119" s="23"/>
      <c r="M119" s="71"/>
      <c r="N119" s="71"/>
      <c r="O119" s="22"/>
      <c r="P119" s="22"/>
      <c r="Q119" s="22"/>
      <c r="R119" s="71"/>
      <c r="S119" s="71"/>
      <c r="T119" s="71"/>
      <c r="U119" s="71"/>
      <c r="V119" s="71"/>
      <c r="W119" s="71"/>
      <c r="X119" s="71"/>
      <c r="Y119" s="71"/>
      <c r="Z119" s="71"/>
      <c r="AA119" s="71"/>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row>
    <row r="120" spans="1:51" x14ac:dyDescent="0.3">
      <c r="A120" s="22"/>
      <c r="B120" s="71"/>
      <c r="C120" s="22"/>
      <c r="D120" s="23"/>
      <c r="E120" s="22"/>
      <c r="F120" s="22"/>
      <c r="G120" s="22"/>
      <c r="H120" s="23"/>
      <c r="I120" s="22"/>
      <c r="J120" s="22"/>
      <c r="K120" s="22"/>
      <c r="L120" s="23"/>
      <c r="M120" s="71"/>
      <c r="N120" s="71"/>
      <c r="O120" s="22"/>
      <c r="P120" s="22"/>
      <c r="Q120" s="22"/>
      <c r="R120" s="71"/>
      <c r="S120" s="71"/>
      <c r="T120" s="71"/>
      <c r="U120" s="71"/>
      <c r="V120" s="71"/>
      <c r="W120" s="71"/>
      <c r="X120" s="71"/>
      <c r="Y120" s="71"/>
      <c r="Z120" s="71"/>
      <c r="AA120" s="71"/>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row>
    <row r="121" spans="1:51" x14ac:dyDescent="0.3">
      <c r="A121" s="22"/>
      <c r="B121" s="71"/>
      <c r="C121" s="22"/>
      <c r="D121" s="23"/>
      <c r="E121" s="22"/>
      <c r="F121" s="22"/>
      <c r="G121" s="22"/>
      <c r="H121" s="23"/>
      <c r="I121" s="22"/>
      <c r="J121" s="22"/>
      <c r="K121" s="22"/>
      <c r="L121" s="23"/>
      <c r="M121" s="71"/>
      <c r="N121" s="71"/>
      <c r="O121" s="22"/>
      <c r="P121" s="22"/>
      <c r="Q121" s="22"/>
      <c r="R121" s="71"/>
      <c r="S121" s="71"/>
      <c r="T121" s="71"/>
      <c r="U121" s="71"/>
      <c r="V121" s="71"/>
      <c r="W121" s="71"/>
      <c r="X121" s="71"/>
      <c r="Y121" s="71"/>
      <c r="Z121" s="71"/>
      <c r="AA121" s="71"/>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row>
    <row r="122" spans="1:51" x14ac:dyDescent="0.3">
      <c r="A122" s="22"/>
      <c r="B122" s="71"/>
      <c r="C122" s="22"/>
      <c r="D122" s="23"/>
      <c r="E122" s="22"/>
      <c r="F122" s="22"/>
      <c r="G122" s="22"/>
      <c r="H122" s="23"/>
      <c r="I122" s="22"/>
      <c r="J122" s="22"/>
      <c r="K122" s="22"/>
      <c r="L122" s="23"/>
      <c r="M122" s="71"/>
      <c r="N122" s="71"/>
      <c r="O122" s="22"/>
      <c r="P122" s="22"/>
      <c r="Q122" s="22"/>
      <c r="R122" s="71"/>
      <c r="S122" s="71"/>
      <c r="T122" s="71"/>
      <c r="U122" s="71"/>
      <c r="V122" s="71"/>
      <c r="W122" s="71"/>
      <c r="X122" s="71"/>
      <c r="Y122" s="71"/>
      <c r="Z122" s="71"/>
      <c r="AA122" s="71"/>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row>
    <row r="123" spans="1:51" x14ac:dyDescent="0.3">
      <c r="A123" s="22"/>
      <c r="B123" s="71"/>
      <c r="C123" s="22"/>
      <c r="D123" s="23"/>
      <c r="E123" s="22"/>
      <c r="F123" s="22"/>
      <c r="G123" s="22"/>
      <c r="H123" s="23"/>
      <c r="I123" s="22"/>
      <c r="J123" s="22"/>
      <c r="K123" s="22"/>
      <c r="L123" s="23"/>
      <c r="M123" s="71"/>
      <c r="N123" s="71"/>
      <c r="O123" s="22"/>
      <c r="P123" s="22"/>
      <c r="Q123" s="22"/>
      <c r="R123" s="71"/>
      <c r="S123" s="71"/>
      <c r="T123" s="71"/>
      <c r="U123" s="71"/>
      <c r="V123" s="71"/>
      <c r="W123" s="71"/>
      <c r="X123" s="71"/>
      <c r="Y123" s="71"/>
      <c r="Z123" s="71"/>
      <c r="AA123" s="71"/>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row>
    <row r="124" spans="1:51" x14ac:dyDescent="0.3">
      <c r="A124" s="22"/>
      <c r="B124" s="71"/>
      <c r="C124" s="22"/>
      <c r="D124" s="23"/>
      <c r="E124" s="22"/>
      <c r="F124" s="22"/>
      <c r="G124" s="22"/>
      <c r="H124" s="23"/>
      <c r="I124" s="22"/>
      <c r="J124" s="22"/>
      <c r="K124" s="22"/>
      <c r="L124" s="23"/>
      <c r="M124" s="71"/>
      <c r="N124" s="71"/>
      <c r="O124" s="22"/>
      <c r="P124" s="22"/>
      <c r="Q124" s="22"/>
      <c r="R124" s="71"/>
      <c r="S124" s="71"/>
      <c r="T124" s="71"/>
      <c r="U124" s="71"/>
      <c r="V124" s="71"/>
      <c r="W124" s="71"/>
      <c r="X124" s="71"/>
      <c r="Y124" s="71"/>
      <c r="Z124" s="71"/>
      <c r="AA124" s="71"/>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row>
    <row r="125" spans="1:51" x14ac:dyDescent="0.3">
      <c r="A125" s="22"/>
      <c r="B125" s="71"/>
      <c r="C125" s="22"/>
      <c r="D125" s="23"/>
      <c r="E125" s="22"/>
      <c r="F125" s="22"/>
      <c r="G125" s="22"/>
      <c r="H125" s="23"/>
      <c r="I125" s="22"/>
      <c r="J125" s="22"/>
      <c r="K125" s="22"/>
      <c r="L125" s="23"/>
      <c r="M125" s="71"/>
      <c r="N125" s="71"/>
      <c r="O125" s="22"/>
      <c r="P125" s="22"/>
      <c r="Q125" s="22"/>
      <c r="R125" s="71"/>
      <c r="S125" s="71"/>
      <c r="T125" s="71"/>
      <c r="U125" s="71"/>
      <c r="V125" s="71"/>
      <c r="W125" s="71"/>
      <c r="X125" s="71"/>
      <c r="Y125" s="71"/>
      <c r="Z125" s="71"/>
      <c r="AA125" s="71"/>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row>
    <row r="126" spans="1:51" x14ac:dyDescent="0.3">
      <c r="A126" s="22"/>
      <c r="B126" s="71"/>
      <c r="C126" s="22"/>
      <c r="D126" s="23"/>
      <c r="E126" s="22"/>
      <c r="F126" s="22"/>
      <c r="G126" s="22"/>
      <c r="H126" s="23"/>
      <c r="I126" s="22"/>
      <c r="J126" s="22"/>
      <c r="K126" s="22"/>
      <c r="L126" s="23"/>
      <c r="M126" s="71"/>
      <c r="N126" s="71"/>
      <c r="O126" s="22"/>
      <c r="P126" s="22"/>
      <c r="Q126" s="22"/>
      <c r="R126" s="71"/>
      <c r="S126" s="71"/>
      <c r="T126" s="71"/>
      <c r="U126" s="71"/>
      <c r="V126" s="71"/>
      <c r="W126" s="71"/>
      <c r="X126" s="71"/>
      <c r="Y126" s="71"/>
      <c r="Z126" s="71"/>
      <c r="AA126" s="71"/>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row>
    <row r="127" spans="1:51" x14ac:dyDescent="0.3">
      <c r="A127" s="22"/>
      <c r="B127" s="71"/>
      <c r="C127" s="22"/>
      <c r="D127" s="23"/>
      <c r="E127" s="22"/>
      <c r="F127" s="22"/>
      <c r="G127" s="22"/>
      <c r="H127" s="23"/>
      <c r="I127" s="22"/>
      <c r="J127" s="22"/>
      <c r="K127" s="22"/>
      <c r="L127" s="23"/>
      <c r="M127" s="71"/>
      <c r="N127" s="71"/>
      <c r="O127" s="22"/>
      <c r="P127" s="22"/>
      <c r="Q127" s="22"/>
      <c r="R127" s="71"/>
      <c r="S127" s="71"/>
      <c r="T127" s="71"/>
      <c r="U127" s="71"/>
      <c r="V127" s="71"/>
      <c r="W127" s="71"/>
      <c r="X127" s="71"/>
      <c r="Y127" s="71"/>
      <c r="Z127" s="71"/>
      <c r="AA127" s="71"/>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row>
    <row r="128" spans="1:51" x14ac:dyDescent="0.3">
      <c r="A128" s="22"/>
      <c r="B128" s="71"/>
      <c r="C128" s="22"/>
      <c r="D128" s="23"/>
      <c r="E128" s="22"/>
      <c r="F128" s="22"/>
      <c r="G128" s="22"/>
      <c r="H128" s="23"/>
      <c r="I128" s="22"/>
      <c r="J128" s="22"/>
      <c r="K128" s="22"/>
      <c r="L128" s="23"/>
      <c r="M128" s="71"/>
      <c r="N128" s="71"/>
      <c r="O128" s="22"/>
      <c r="P128" s="22"/>
      <c r="Q128" s="22"/>
      <c r="R128" s="71"/>
      <c r="S128" s="71"/>
      <c r="T128" s="71"/>
      <c r="U128" s="71"/>
      <c r="V128" s="71"/>
      <c r="W128" s="71"/>
      <c r="X128" s="71"/>
      <c r="Y128" s="71"/>
      <c r="Z128" s="71"/>
      <c r="AA128" s="71"/>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row>
    <row r="129" spans="1:51" x14ac:dyDescent="0.3">
      <c r="A129" s="22"/>
      <c r="B129" s="71"/>
      <c r="C129" s="22"/>
      <c r="D129" s="23"/>
      <c r="E129" s="22"/>
      <c r="F129" s="22"/>
      <c r="G129" s="22"/>
      <c r="H129" s="23"/>
      <c r="I129" s="22"/>
      <c r="J129" s="22"/>
      <c r="K129" s="22"/>
      <c r="L129" s="23"/>
      <c r="M129" s="71"/>
      <c r="N129" s="71"/>
      <c r="O129" s="22"/>
      <c r="P129" s="22"/>
      <c r="Q129" s="22"/>
      <c r="R129" s="71"/>
      <c r="S129" s="71"/>
      <c r="T129" s="71"/>
      <c r="U129" s="71"/>
      <c r="V129" s="71"/>
      <c r="W129" s="71"/>
      <c r="X129" s="71"/>
      <c r="Y129" s="71"/>
      <c r="Z129" s="71"/>
      <c r="AA129" s="71"/>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row>
    <row r="130" spans="1:51" x14ac:dyDescent="0.3">
      <c r="A130" s="22"/>
      <c r="B130" s="71"/>
      <c r="C130" s="22"/>
      <c r="D130" s="23"/>
      <c r="E130" s="22"/>
      <c r="F130" s="22"/>
      <c r="G130" s="22"/>
      <c r="H130" s="23"/>
      <c r="I130" s="22"/>
      <c r="J130" s="22"/>
      <c r="K130" s="22"/>
      <c r="L130" s="23"/>
      <c r="M130" s="71"/>
      <c r="N130" s="71"/>
      <c r="O130" s="22"/>
      <c r="P130" s="22"/>
      <c r="Q130" s="22"/>
      <c r="R130" s="71"/>
      <c r="S130" s="71"/>
      <c r="T130" s="71"/>
      <c r="U130" s="71"/>
      <c r="V130" s="71"/>
      <c r="W130" s="71"/>
      <c r="X130" s="71"/>
      <c r="Y130" s="71"/>
      <c r="Z130" s="71"/>
      <c r="AA130" s="71"/>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row>
    <row r="131" spans="1:51" x14ac:dyDescent="0.3">
      <c r="A131" s="22"/>
      <c r="B131" s="71"/>
      <c r="C131" s="22"/>
      <c r="D131" s="23"/>
      <c r="E131" s="22"/>
      <c r="F131" s="22"/>
      <c r="G131" s="22"/>
      <c r="H131" s="23"/>
      <c r="I131" s="22"/>
      <c r="J131" s="22"/>
      <c r="K131" s="22"/>
      <c r="L131" s="23"/>
      <c r="M131" s="71"/>
      <c r="N131" s="71"/>
      <c r="O131" s="22"/>
      <c r="P131" s="22"/>
      <c r="Q131" s="22"/>
      <c r="R131" s="71"/>
      <c r="S131" s="71"/>
      <c r="T131" s="71"/>
      <c r="U131" s="71"/>
      <c r="V131" s="71"/>
      <c r="W131" s="71"/>
      <c r="X131" s="71"/>
      <c r="Y131" s="71"/>
      <c r="Z131" s="71"/>
      <c r="AA131" s="71"/>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row>
    <row r="132" spans="1:51" x14ac:dyDescent="0.3">
      <c r="A132" s="22"/>
      <c r="B132" s="71"/>
      <c r="C132" s="22"/>
      <c r="D132" s="23"/>
      <c r="E132" s="22"/>
      <c r="F132" s="22"/>
      <c r="G132" s="22"/>
      <c r="H132" s="23"/>
      <c r="I132" s="22"/>
      <c r="J132" s="22"/>
      <c r="K132" s="22"/>
      <c r="L132" s="23"/>
      <c r="M132" s="71"/>
      <c r="N132" s="71"/>
      <c r="O132" s="22"/>
      <c r="P132" s="22"/>
      <c r="Q132" s="22"/>
      <c r="R132" s="71"/>
      <c r="S132" s="71"/>
      <c r="T132" s="71"/>
      <c r="U132" s="71"/>
      <c r="V132" s="71"/>
      <c r="W132" s="71"/>
      <c r="X132" s="71"/>
      <c r="Y132" s="71"/>
      <c r="Z132" s="71"/>
      <c r="AA132" s="71"/>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row>
    <row r="133" spans="1:51" x14ac:dyDescent="0.3">
      <c r="A133" s="22"/>
      <c r="B133" s="71"/>
      <c r="C133" s="22"/>
      <c r="D133" s="23"/>
      <c r="E133" s="22"/>
      <c r="F133" s="22"/>
      <c r="G133" s="22"/>
      <c r="H133" s="23"/>
      <c r="I133" s="22"/>
      <c r="J133" s="22"/>
      <c r="K133" s="22"/>
      <c r="L133" s="23"/>
      <c r="M133" s="71"/>
      <c r="N133" s="71"/>
      <c r="O133" s="22"/>
      <c r="P133" s="22"/>
      <c r="Q133" s="22"/>
      <c r="R133" s="71"/>
      <c r="S133" s="71"/>
      <c r="T133" s="71"/>
      <c r="U133" s="71"/>
      <c r="V133" s="71"/>
      <c r="W133" s="71"/>
      <c r="X133" s="71"/>
      <c r="Y133" s="71"/>
      <c r="Z133" s="71"/>
      <c r="AA133" s="71"/>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row>
    <row r="134" spans="1:51" x14ac:dyDescent="0.3">
      <c r="A134" s="22"/>
      <c r="B134" s="71"/>
      <c r="C134" s="22"/>
      <c r="D134" s="23"/>
      <c r="E134" s="22"/>
      <c r="F134" s="22"/>
      <c r="G134" s="22"/>
      <c r="H134" s="23"/>
      <c r="I134" s="22"/>
      <c r="J134" s="22"/>
      <c r="K134" s="22"/>
      <c r="L134" s="23"/>
      <c r="M134" s="71"/>
      <c r="N134" s="71"/>
      <c r="O134" s="22"/>
      <c r="P134" s="22"/>
      <c r="Q134" s="22"/>
      <c r="R134" s="71"/>
      <c r="S134" s="71"/>
      <c r="T134" s="71"/>
      <c r="U134" s="71"/>
      <c r="V134" s="71"/>
      <c r="W134" s="71"/>
      <c r="X134" s="71"/>
      <c r="Y134" s="71"/>
      <c r="Z134" s="71"/>
      <c r="AA134" s="71"/>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row>
    <row r="135" spans="1:51" x14ac:dyDescent="0.3">
      <c r="A135" s="22"/>
      <c r="B135" s="71"/>
      <c r="C135" s="22"/>
      <c r="D135" s="23"/>
      <c r="E135" s="22"/>
      <c r="F135" s="22"/>
      <c r="G135" s="22"/>
      <c r="H135" s="23"/>
      <c r="I135" s="22"/>
      <c r="J135" s="22"/>
      <c r="K135" s="22"/>
      <c r="L135" s="23"/>
      <c r="M135" s="71"/>
      <c r="N135" s="71"/>
      <c r="O135" s="22"/>
      <c r="P135" s="22"/>
      <c r="Q135" s="22"/>
      <c r="R135" s="71"/>
      <c r="S135" s="71"/>
      <c r="T135" s="71"/>
      <c r="U135" s="71"/>
      <c r="V135" s="71"/>
      <c r="W135" s="71"/>
      <c r="X135" s="71"/>
      <c r="Y135" s="71"/>
      <c r="Z135" s="71"/>
      <c r="AA135" s="71"/>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row>
    <row r="136" spans="1:51" x14ac:dyDescent="0.3">
      <c r="A136" s="22"/>
      <c r="B136" s="71"/>
      <c r="C136" s="22"/>
      <c r="D136" s="23"/>
      <c r="E136" s="22"/>
      <c r="F136" s="22"/>
      <c r="G136" s="22"/>
      <c r="H136" s="23"/>
      <c r="I136" s="22"/>
      <c r="J136" s="22"/>
      <c r="K136" s="22"/>
      <c r="L136" s="23"/>
      <c r="M136" s="71"/>
      <c r="N136" s="71"/>
      <c r="O136" s="22"/>
      <c r="P136" s="22"/>
      <c r="Q136" s="22"/>
      <c r="R136" s="71"/>
      <c r="S136" s="71"/>
      <c r="T136" s="71"/>
      <c r="U136" s="71"/>
      <c r="V136" s="71"/>
      <c r="W136" s="71"/>
      <c r="X136" s="71"/>
      <c r="Y136" s="71"/>
      <c r="Z136" s="71"/>
      <c r="AA136" s="71"/>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row>
    <row r="137" spans="1:51" x14ac:dyDescent="0.3">
      <c r="A137" s="22"/>
      <c r="B137" s="71"/>
      <c r="C137" s="22"/>
      <c r="D137" s="23"/>
      <c r="E137" s="22"/>
      <c r="F137" s="22"/>
      <c r="G137" s="22"/>
      <c r="H137" s="23"/>
      <c r="I137" s="22"/>
      <c r="J137" s="22"/>
      <c r="K137" s="22"/>
      <c r="L137" s="23"/>
      <c r="M137" s="71"/>
      <c r="N137" s="71"/>
      <c r="O137" s="22"/>
      <c r="P137" s="22"/>
      <c r="Q137" s="22"/>
      <c r="R137" s="71"/>
      <c r="S137" s="71"/>
      <c r="T137" s="71"/>
      <c r="U137" s="71"/>
      <c r="V137" s="71"/>
      <c r="W137" s="71"/>
      <c r="X137" s="71"/>
      <c r="Y137" s="71"/>
      <c r="Z137" s="71"/>
      <c r="AA137" s="71"/>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row>
    <row r="138" spans="1:51" x14ac:dyDescent="0.3">
      <c r="A138" s="22"/>
      <c r="B138" s="71"/>
      <c r="C138" s="22"/>
      <c r="D138" s="23"/>
      <c r="E138" s="22"/>
      <c r="F138" s="22"/>
      <c r="G138" s="22"/>
      <c r="H138" s="23"/>
      <c r="I138" s="22"/>
      <c r="J138" s="22"/>
      <c r="K138" s="22"/>
      <c r="L138" s="23"/>
      <c r="M138" s="71"/>
      <c r="N138" s="71"/>
      <c r="O138" s="22"/>
      <c r="P138" s="22"/>
      <c r="Q138" s="22"/>
      <c r="R138" s="71"/>
      <c r="S138" s="71"/>
      <c r="T138" s="71"/>
      <c r="U138" s="71"/>
      <c r="V138" s="71"/>
      <c r="W138" s="71"/>
      <c r="X138" s="71"/>
      <c r="Y138" s="71"/>
      <c r="Z138" s="71"/>
      <c r="AA138" s="71"/>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row>
    <row r="139" spans="1:51" x14ac:dyDescent="0.3">
      <c r="A139" s="22"/>
      <c r="B139" s="71"/>
      <c r="C139" s="22"/>
      <c r="D139" s="23"/>
      <c r="E139" s="22"/>
      <c r="F139" s="22"/>
      <c r="G139" s="22"/>
      <c r="H139" s="23"/>
      <c r="I139" s="22"/>
      <c r="J139" s="22"/>
      <c r="K139" s="22"/>
      <c r="L139" s="23"/>
      <c r="M139" s="71"/>
      <c r="N139" s="71"/>
      <c r="O139" s="22"/>
      <c r="P139" s="22"/>
      <c r="Q139" s="22"/>
      <c r="R139" s="71"/>
      <c r="S139" s="71"/>
      <c r="T139" s="71"/>
      <c r="U139" s="71"/>
      <c r="V139" s="71"/>
      <c r="W139" s="71"/>
      <c r="X139" s="71"/>
      <c r="Y139" s="71"/>
      <c r="Z139" s="71"/>
      <c r="AA139" s="71"/>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row>
    <row r="140" spans="1:51" x14ac:dyDescent="0.3">
      <c r="A140" s="22"/>
      <c r="B140" s="71"/>
      <c r="C140" s="22"/>
      <c r="D140" s="23"/>
      <c r="E140" s="22"/>
      <c r="F140" s="22"/>
      <c r="G140" s="22"/>
      <c r="H140" s="23"/>
      <c r="I140" s="22"/>
      <c r="J140" s="22"/>
      <c r="K140" s="22"/>
      <c r="L140" s="23"/>
      <c r="M140" s="71"/>
      <c r="N140" s="71"/>
      <c r="O140" s="22"/>
      <c r="P140" s="22"/>
      <c r="Q140" s="22"/>
      <c r="R140" s="71"/>
      <c r="S140" s="71"/>
      <c r="T140" s="71"/>
      <c r="U140" s="71"/>
      <c r="V140" s="71"/>
      <c r="W140" s="71"/>
      <c r="X140" s="71"/>
      <c r="Y140" s="71"/>
      <c r="Z140" s="71"/>
      <c r="AA140" s="71"/>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row>
    <row r="141" spans="1:51" x14ac:dyDescent="0.3">
      <c r="A141" s="22"/>
      <c r="B141" s="71"/>
      <c r="C141" s="22"/>
      <c r="D141" s="23"/>
      <c r="E141" s="22"/>
      <c r="F141" s="22"/>
      <c r="G141" s="22"/>
      <c r="H141" s="23"/>
      <c r="I141" s="22"/>
      <c r="J141" s="22"/>
      <c r="K141" s="22"/>
      <c r="L141" s="23"/>
      <c r="M141" s="71"/>
      <c r="N141" s="71"/>
      <c r="O141" s="22"/>
      <c r="P141" s="22"/>
      <c r="Q141" s="22"/>
      <c r="R141" s="71"/>
      <c r="S141" s="71"/>
      <c r="T141" s="71"/>
      <c r="U141" s="71"/>
      <c r="V141" s="71"/>
      <c r="W141" s="71"/>
      <c r="X141" s="71"/>
      <c r="Y141" s="71"/>
      <c r="Z141" s="71"/>
      <c r="AA141" s="71"/>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row>
    <row r="142" spans="1:51" x14ac:dyDescent="0.3">
      <c r="A142" s="22"/>
      <c r="B142" s="71"/>
      <c r="C142" s="22"/>
      <c r="D142" s="23"/>
      <c r="E142" s="22"/>
      <c r="F142" s="22"/>
      <c r="G142" s="22"/>
      <c r="H142" s="23"/>
      <c r="I142" s="22"/>
      <c r="J142" s="22"/>
      <c r="K142" s="22"/>
      <c r="L142" s="23"/>
      <c r="M142" s="71"/>
      <c r="N142" s="71"/>
      <c r="O142" s="22"/>
      <c r="P142" s="22"/>
      <c r="Q142" s="22"/>
      <c r="R142" s="71"/>
      <c r="S142" s="71"/>
      <c r="T142" s="71"/>
      <c r="U142" s="71"/>
      <c r="V142" s="71"/>
      <c r="W142" s="71"/>
      <c r="X142" s="71"/>
      <c r="Y142" s="71"/>
      <c r="Z142" s="71"/>
      <c r="AA142" s="71"/>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row>
    <row r="143" spans="1:51" x14ac:dyDescent="0.3">
      <c r="A143" s="22"/>
      <c r="B143" s="71"/>
      <c r="C143" s="22"/>
      <c r="D143" s="23"/>
      <c r="E143" s="22"/>
      <c r="F143" s="22"/>
      <c r="G143" s="22"/>
      <c r="H143" s="23"/>
      <c r="I143" s="22"/>
      <c r="J143" s="22"/>
      <c r="K143" s="22"/>
      <c r="L143" s="23"/>
      <c r="M143" s="71"/>
      <c r="N143" s="71"/>
      <c r="O143" s="22"/>
      <c r="P143" s="22"/>
      <c r="Q143" s="22"/>
      <c r="R143" s="71"/>
      <c r="S143" s="71"/>
      <c r="T143" s="71"/>
      <c r="U143" s="71"/>
      <c r="V143" s="71"/>
      <c r="W143" s="71"/>
      <c r="X143" s="71"/>
      <c r="Y143" s="71"/>
      <c r="Z143" s="71"/>
      <c r="AA143" s="71"/>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row>
    <row r="144" spans="1:51" x14ac:dyDescent="0.3">
      <c r="A144" s="22"/>
      <c r="B144" s="71"/>
      <c r="C144" s="22"/>
      <c r="D144" s="23"/>
      <c r="E144" s="22"/>
      <c r="F144" s="22"/>
      <c r="G144" s="22"/>
      <c r="H144" s="23"/>
      <c r="I144" s="22"/>
      <c r="J144" s="22"/>
      <c r="K144" s="22"/>
      <c r="L144" s="23"/>
      <c r="M144" s="71"/>
      <c r="N144" s="71"/>
      <c r="O144" s="22"/>
      <c r="P144" s="22"/>
      <c r="Q144" s="22"/>
      <c r="R144" s="71"/>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row>
    <row r="145" spans="1:51" x14ac:dyDescent="0.3">
      <c r="A145" s="22"/>
      <c r="B145" s="71"/>
      <c r="C145" s="22"/>
      <c r="D145" s="23"/>
      <c r="E145" s="22"/>
      <c r="F145" s="22"/>
      <c r="G145" s="22"/>
      <c r="H145" s="23"/>
      <c r="I145" s="22"/>
      <c r="J145" s="22"/>
      <c r="K145" s="22"/>
      <c r="L145" s="23"/>
      <c r="M145" s="71"/>
      <c r="N145" s="71"/>
      <c r="O145" s="22"/>
      <c r="P145" s="22"/>
      <c r="Q145" s="22"/>
      <c r="R145" s="71"/>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row>
    <row r="146" spans="1:51" x14ac:dyDescent="0.3">
      <c r="A146" s="22"/>
      <c r="B146" s="71"/>
      <c r="C146" s="22"/>
      <c r="D146" s="23"/>
      <c r="E146" s="22"/>
      <c r="F146" s="22"/>
      <c r="G146" s="22"/>
      <c r="H146" s="23"/>
      <c r="I146" s="22"/>
      <c r="J146" s="22"/>
      <c r="K146" s="22"/>
      <c r="L146" s="23"/>
      <c r="M146" s="71"/>
      <c r="N146" s="71"/>
      <c r="O146" s="22"/>
      <c r="P146" s="22"/>
      <c r="Q146" s="22"/>
      <c r="R146" s="71"/>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row>
    <row r="147" spans="1:51" x14ac:dyDescent="0.3">
      <c r="A147" s="22"/>
      <c r="B147" s="71"/>
      <c r="C147" s="22"/>
      <c r="D147" s="23"/>
      <c r="E147" s="22"/>
      <c r="F147" s="22"/>
      <c r="G147" s="22"/>
      <c r="H147" s="23"/>
      <c r="I147" s="22"/>
      <c r="J147" s="22"/>
      <c r="K147" s="22"/>
      <c r="L147" s="23"/>
      <c r="M147" s="71"/>
      <c r="N147" s="71"/>
      <c r="O147" s="22"/>
      <c r="P147" s="22"/>
      <c r="Q147" s="22"/>
      <c r="R147" s="71"/>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row>
    <row r="148" spans="1:51" x14ac:dyDescent="0.3">
      <c r="A148" s="22"/>
      <c r="B148" s="71"/>
      <c r="C148" s="22"/>
      <c r="D148" s="23"/>
      <c r="E148" s="22"/>
      <c r="F148" s="22"/>
      <c r="G148" s="22"/>
      <c r="H148" s="23"/>
      <c r="I148" s="22"/>
      <c r="J148" s="22"/>
      <c r="K148" s="22"/>
      <c r="L148" s="23"/>
      <c r="M148" s="71"/>
      <c r="N148" s="71"/>
      <c r="O148" s="22"/>
      <c r="P148" s="22"/>
      <c r="Q148" s="22"/>
      <c r="R148" s="71"/>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row>
    <row r="149" spans="1:51" x14ac:dyDescent="0.3">
      <c r="A149" s="22"/>
      <c r="B149" s="71"/>
      <c r="C149" s="22"/>
      <c r="D149" s="23"/>
      <c r="E149" s="22"/>
      <c r="F149" s="22"/>
      <c r="G149" s="22"/>
      <c r="H149" s="23"/>
      <c r="I149" s="22"/>
      <c r="J149" s="22"/>
      <c r="K149" s="22"/>
      <c r="L149" s="23"/>
      <c r="M149" s="71"/>
      <c r="N149" s="71"/>
      <c r="O149" s="22"/>
      <c r="P149" s="22"/>
      <c r="Q149" s="22"/>
      <c r="R149" s="71"/>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row>
    <row r="150" spans="1:51" x14ac:dyDescent="0.3">
      <c r="A150" s="22"/>
      <c r="B150" s="71"/>
      <c r="C150" s="22"/>
      <c r="D150" s="23"/>
      <c r="E150" s="22"/>
      <c r="F150" s="22"/>
      <c r="G150" s="22"/>
      <c r="H150" s="23"/>
      <c r="I150" s="22"/>
      <c r="J150" s="22"/>
      <c r="K150" s="22"/>
      <c r="L150" s="23"/>
      <c r="M150" s="71"/>
      <c r="N150" s="71"/>
      <c r="O150" s="22"/>
      <c r="P150" s="22"/>
      <c r="Q150" s="22"/>
      <c r="R150" s="71"/>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row>
    <row r="151" spans="1:51" x14ac:dyDescent="0.3">
      <c r="A151" s="22"/>
      <c r="B151" s="71"/>
      <c r="C151" s="22"/>
      <c r="D151" s="23"/>
      <c r="E151" s="22"/>
      <c r="F151" s="22"/>
      <c r="G151" s="22"/>
      <c r="H151" s="23"/>
      <c r="I151" s="22"/>
      <c r="J151" s="22"/>
      <c r="K151" s="22"/>
      <c r="L151" s="23"/>
      <c r="M151" s="71"/>
      <c r="N151" s="71"/>
      <c r="O151" s="22"/>
      <c r="P151" s="22"/>
      <c r="Q151" s="22"/>
      <c r="R151" s="71"/>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row>
    <row r="152" spans="1:51" x14ac:dyDescent="0.3">
      <c r="A152" s="22"/>
      <c r="B152" s="71"/>
      <c r="C152" s="22"/>
      <c r="D152" s="23"/>
      <c r="E152" s="22"/>
      <c r="F152" s="22"/>
      <c r="G152" s="22"/>
      <c r="H152" s="23"/>
      <c r="I152" s="22"/>
      <c r="J152" s="22"/>
      <c r="K152" s="22"/>
      <c r="L152" s="23"/>
      <c r="M152" s="71"/>
      <c r="N152" s="71"/>
      <c r="O152" s="22"/>
      <c r="P152" s="22"/>
      <c r="Q152" s="22"/>
      <c r="R152" s="71"/>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row>
    <row r="153" spans="1:51" x14ac:dyDescent="0.3">
      <c r="A153" s="22"/>
      <c r="B153" s="71"/>
      <c r="C153" s="22"/>
      <c r="D153" s="23"/>
      <c r="E153" s="22"/>
      <c r="F153" s="22"/>
      <c r="G153" s="22"/>
      <c r="H153" s="23"/>
      <c r="I153" s="22"/>
      <c r="J153" s="22"/>
      <c r="K153" s="22"/>
      <c r="L153" s="23"/>
      <c r="M153" s="71"/>
      <c r="N153" s="71"/>
      <c r="O153" s="22"/>
      <c r="P153" s="22"/>
      <c r="Q153" s="22"/>
      <c r="R153" s="71"/>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row>
    <row r="154" spans="1:51" x14ac:dyDescent="0.3">
      <c r="A154" s="22"/>
      <c r="B154" s="71"/>
      <c r="C154" s="22"/>
      <c r="D154" s="23"/>
      <c r="E154" s="22"/>
      <c r="F154" s="22"/>
      <c r="G154" s="22"/>
      <c r="H154" s="23"/>
      <c r="I154" s="22"/>
      <c r="J154" s="22"/>
      <c r="K154" s="22"/>
      <c r="L154" s="23"/>
      <c r="M154" s="71"/>
      <c r="N154" s="71"/>
      <c r="O154" s="22"/>
      <c r="P154" s="22"/>
      <c r="Q154" s="22"/>
      <c r="R154" s="71"/>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row>
    <row r="155" spans="1:51" x14ac:dyDescent="0.3">
      <c r="A155" s="22"/>
      <c r="B155" s="71"/>
      <c r="C155" s="22"/>
      <c r="D155" s="23"/>
      <c r="E155" s="22"/>
      <c r="F155" s="22"/>
      <c r="G155" s="22"/>
      <c r="H155" s="23"/>
      <c r="I155" s="22"/>
      <c r="J155" s="22"/>
      <c r="K155" s="22"/>
      <c r="L155" s="23"/>
      <c r="M155" s="71"/>
      <c r="N155" s="71"/>
      <c r="O155" s="22"/>
      <c r="P155" s="22"/>
      <c r="Q155" s="22"/>
      <c r="R155" s="71"/>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row>
    <row r="156" spans="1:51" x14ac:dyDescent="0.3">
      <c r="A156" s="22"/>
      <c r="B156" s="71"/>
      <c r="C156" s="22"/>
      <c r="D156" s="23"/>
      <c r="E156" s="22"/>
      <c r="F156" s="22"/>
      <c r="G156" s="22"/>
      <c r="H156" s="23"/>
      <c r="I156" s="22"/>
      <c r="J156" s="22"/>
      <c r="K156" s="22"/>
      <c r="L156" s="23"/>
      <c r="M156" s="71"/>
      <c r="N156" s="71"/>
      <c r="O156" s="22"/>
      <c r="P156" s="22"/>
      <c r="Q156" s="22"/>
      <c r="R156" s="71"/>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row>
    <row r="157" spans="1:51" x14ac:dyDescent="0.3">
      <c r="A157" s="22"/>
      <c r="B157" s="71"/>
      <c r="C157" s="22"/>
      <c r="D157" s="23"/>
      <c r="E157" s="22"/>
      <c r="F157" s="22"/>
      <c r="G157" s="22"/>
      <c r="H157" s="23"/>
      <c r="I157" s="22"/>
      <c r="J157" s="22"/>
      <c r="K157" s="22"/>
      <c r="L157" s="23"/>
      <c r="M157" s="71"/>
      <c r="N157" s="71"/>
      <c r="O157" s="22"/>
      <c r="P157" s="22"/>
      <c r="Q157" s="22"/>
      <c r="R157" s="71"/>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row>
    <row r="158" spans="1:51" x14ac:dyDescent="0.3">
      <c r="A158" s="22"/>
      <c r="B158" s="71"/>
      <c r="C158" s="22"/>
      <c r="D158" s="23"/>
      <c r="E158" s="22"/>
      <c r="F158" s="22"/>
      <c r="G158" s="22"/>
      <c r="H158" s="23"/>
      <c r="I158" s="22"/>
      <c r="J158" s="22"/>
      <c r="K158" s="22"/>
      <c r="L158" s="23"/>
      <c r="M158" s="71"/>
      <c r="N158" s="71"/>
      <c r="O158" s="22"/>
      <c r="P158" s="22"/>
      <c r="Q158" s="22"/>
      <c r="R158" s="71"/>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row>
    <row r="159" spans="1:51" x14ac:dyDescent="0.3">
      <c r="A159" s="22"/>
      <c r="B159" s="71"/>
      <c r="C159" s="22"/>
      <c r="D159" s="23"/>
      <c r="E159" s="22"/>
      <c r="F159" s="22"/>
      <c r="G159" s="22"/>
      <c r="H159" s="23"/>
      <c r="I159" s="22"/>
      <c r="J159" s="22"/>
      <c r="K159" s="22"/>
      <c r="L159" s="23"/>
      <c r="M159" s="71"/>
      <c r="N159" s="71"/>
      <c r="O159" s="22"/>
      <c r="P159" s="22"/>
      <c r="Q159" s="22"/>
      <c r="R159" s="71"/>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row>
    <row r="160" spans="1:51" x14ac:dyDescent="0.3">
      <c r="A160" s="22"/>
      <c r="B160" s="71"/>
      <c r="C160" s="22"/>
      <c r="D160" s="23"/>
      <c r="E160" s="22"/>
      <c r="F160" s="22"/>
      <c r="G160" s="22"/>
      <c r="H160" s="23"/>
      <c r="I160" s="22"/>
      <c r="J160" s="22"/>
      <c r="K160" s="22"/>
      <c r="L160" s="23"/>
      <c r="M160" s="71"/>
      <c r="N160" s="71"/>
      <c r="O160" s="22"/>
      <c r="P160" s="22"/>
      <c r="Q160" s="22"/>
      <c r="R160" s="71"/>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row>
    <row r="161" spans="1:51" x14ac:dyDescent="0.3">
      <c r="A161" s="22"/>
      <c r="B161" s="71"/>
      <c r="C161" s="22"/>
      <c r="D161" s="23"/>
      <c r="E161" s="22"/>
      <c r="F161" s="22"/>
      <c r="G161" s="22"/>
      <c r="H161" s="23"/>
      <c r="I161" s="22"/>
      <c r="J161" s="22"/>
      <c r="K161" s="22"/>
      <c r="L161" s="23"/>
      <c r="M161" s="71"/>
      <c r="N161" s="71"/>
      <c r="O161" s="22"/>
      <c r="P161" s="22"/>
      <c r="Q161" s="22"/>
      <c r="R161" s="71"/>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row>
    <row r="162" spans="1:51" x14ac:dyDescent="0.3">
      <c r="A162" s="22"/>
      <c r="B162" s="71"/>
      <c r="C162" s="22"/>
      <c r="D162" s="23"/>
      <c r="E162" s="22"/>
      <c r="F162" s="22"/>
      <c r="G162" s="22"/>
      <c r="H162" s="23"/>
      <c r="I162" s="22"/>
      <c r="J162" s="22"/>
      <c r="K162" s="22"/>
      <c r="L162" s="23"/>
      <c r="M162" s="71"/>
      <c r="N162" s="71"/>
      <c r="O162" s="22"/>
      <c r="P162" s="22"/>
      <c r="Q162" s="22"/>
      <c r="R162" s="71"/>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row>
    <row r="163" spans="1:51" x14ac:dyDescent="0.3">
      <c r="A163" s="22"/>
      <c r="B163" s="71"/>
      <c r="C163" s="22"/>
      <c r="D163" s="23"/>
      <c r="E163" s="22"/>
      <c r="F163" s="22"/>
      <c r="G163" s="22"/>
      <c r="H163" s="23"/>
      <c r="I163" s="22"/>
      <c r="J163" s="22"/>
      <c r="K163" s="22"/>
      <c r="L163" s="23"/>
      <c r="M163" s="71"/>
      <c r="N163" s="71"/>
      <c r="O163" s="22"/>
      <c r="P163" s="22"/>
      <c r="Q163" s="22"/>
      <c r="R163" s="71"/>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row>
    <row r="164" spans="1:51" x14ac:dyDescent="0.3">
      <c r="A164" s="22"/>
      <c r="B164" s="71"/>
      <c r="C164" s="22"/>
      <c r="D164" s="23"/>
      <c r="E164" s="22"/>
      <c r="F164" s="22"/>
      <c r="G164" s="22"/>
      <c r="H164" s="23"/>
      <c r="I164" s="22"/>
      <c r="J164" s="22"/>
      <c r="K164" s="22"/>
      <c r="L164" s="23"/>
      <c r="M164" s="71"/>
      <c r="N164" s="71"/>
      <c r="O164" s="22"/>
      <c r="P164" s="22"/>
      <c r="Q164" s="22"/>
      <c r="R164" s="71"/>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row>
    <row r="165" spans="1:51" x14ac:dyDescent="0.3">
      <c r="A165" s="22"/>
      <c r="B165" s="71"/>
      <c r="C165" s="22"/>
      <c r="D165" s="23"/>
      <c r="E165" s="22"/>
      <c r="F165" s="22"/>
      <c r="G165" s="22"/>
      <c r="H165" s="23"/>
      <c r="I165" s="22"/>
      <c r="J165" s="22"/>
      <c r="K165" s="22"/>
      <c r="L165" s="23"/>
      <c r="M165" s="71"/>
      <c r="N165" s="71"/>
      <c r="O165" s="22"/>
      <c r="P165" s="22"/>
      <c r="Q165" s="22"/>
      <c r="R165" s="71"/>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row>
    <row r="166" spans="1:51" x14ac:dyDescent="0.3">
      <c r="A166" s="22"/>
      <c r="B166" s="71"/>
      <c r="C166" s="22"/>
      <c r="D166" s="23"/>
      <c r="E166" s="22"/>
      <c r="F166" s="22"/>
      <c r="G166" s="22"/>
      <c r="H166" s="23"/>
      <c r="I166" s="22"/>
      <c r="J166" s="22"/>
      <c r="K166" s="22"/>
      <c r="L166" s="23"/>
      <c r="M166" s="71"/>
      <c r="N166" s="71"/>
      <c r="O166" s="22"/>
      <c r="P166" s="22"/>
      <c r="Q166" s="22"/>
      <c r="R166" s="71"/>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row>
    <row r="167" spans="1:51" x14ac:dyDescent="0.3">
      <c r="A167" s="22"/>
      <c r="B167" s="71"/>
      <c r="C167" s="22"/>
      <c r="D167" s="23"/>
      <c r="E167" s="22"/>
      <c r="F167" s="22"/>
      <c r="G167" s="22"/>
      <c r="H167" s="23"/>
      <c r="I167" s="22"/>
      <c r="J167" s="22"/>
      <c r="K167" s="22"/>
      <c r="L167" s="23"/>
      <c r="M167" s="71"/>
      <c r="N167" s="71"/>
      <c r="O167" s="22"/>
      <c r="P167" s="22"/>
      <c r="Q167" s="22"/>
      <c r="R167" s="71"/>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row>
    <row r="168" spans="1:51" x14ac:dyDescent="0.3">
      <c r="A168" s="22"/>
      <c r="B168" s="71"/>
      <c r="C168" s="22"/>
      <c r="D168" s="23"/>
      <c r="E168" s="22"/>
      <c r="F168" s="22"/>
      <c r="G168" s="22"/>
      <c r="H168" s="23"/>
      <c r="I168" s="22"/>
      <c r="J168" s="22"/>
      <c r="K168" s="22"/>
      <c r="L168" s="23"/>
      <c r="M168" s="71"/>
      <c r="N168" s="71"/>
      <c r="O168" s="22"/>
      <c r="P168" s="22"/>
      <c r="Q168" s="22"/>
      <c r="R168" s="71"/>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row>
    <row r="169" spans="1:51" x14ac:dyDescent="0.3">
      <c r="A169" s="22"/>
      <c r="B169" s="71"/>
      <c r="C169" s="22"/>
      <c r="D169" s="23"/>
      <c r="E169" s="22"/>
      <c r="F169" s="22"/>
      <c r="G169" s="22"/>
      <c r="H169" s="23"/>
      <c r="I169" s="22"/>
      <c r="J169" s="22"/>
      <c r="K169" s="22"/>
      <c r="L169" s="23"/>
      <c r="M169" s="71"/>
      <c r="N169" s="71"/>
      <c r="O169" s="22"/>
      <c r="P169" s="22"/>
      <c r="Q169" s="22"/>
      <c r="R169" s="71"/>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row>
    <row r="170" spans="1:51" x14ac:dyDescent="0.3">
      <c r="A170" s="22"/>
      <c r="B170" s="71"/>
      <c r="C170" s="22"/>
      <c r="D170" s="23"/>
      <c r="E170" s="22"/>
      <c r="F170" s="22"/>
      <c r="G170" s="22"/>
      <c r="H170" s="23"/>
      <c r="I170" s="22"/>
      <c r="J170" s="22"/>
      <c r="K170" s="22"/>
      <c r="L170" s="23"/>
      <c r="M170" s="71"/>
      <c r="N170" s="71"/>
      <c r="O170" s="22"/>
      <c r="P170" s="22"/>
      <c r="Q170" s="22"/>
      <c r="R170" s="71"/>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row>
    <row r="171" spans="1:51" x14ac:dyDescent="0.3">
      <c r="A171" s="22"/>
      <c r="B171" s="71"/>
      <c r="C171" s="22"/>
      <c r="D171" s="23"/>
      <c r="E171" s="22"/>
      <c r="F171" s="22"/>
      <c r="G171" s="22"/>
      <c r="H171" s="23"/>
      <c r="I171" s="22"/>
      <c r="J171" s="22"/>
      <c r="K171" s="22"/>
      <c r="L171" s="23"/>
      <c r="M171" s="71"/>
      <c r="N171" s="71"/>
      <c r="O171" s="22"/>
      <c r="P171" s="22"/>
      <c r="Q171" s="22"/>
      <c r="R171" s="71"/>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row>
    <row r="172" spans="1:51" x14ac:dyDescent="0.3">
      <c r="A172" s="22"/>
      <c r="B172" s="71"/>
      <c r="C172" s="22"/>
      <c r="D172" s="23"/>
      <c r="E172" s="22"/>
      <c r="F172" s="22"/>
      <c r="G172" s="22"/>
      <c r="H172" s="23"/>
      <c r="I172" s="22"/>
      <c r="J172" s="22"/>
      <c r="K172" s="22"/>
      <c r="L172" s="23"/>
      <c r="M172" s="71"/>
      <c r="N172" s="71"/>
      <c r="O172" s="22"/>
      <c r="P172" s="22"/>
      <c r="Q172" s="22"/>
      <c r="R172" s="71"/>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row>
    <row r="173" spans="1:51" x14ac:dyDescent="0.3">
      <c r="A173" s="22"/>
      <c r="B173" s="71"/>
      <c r="C173" s="22"/>
      <c r="D173" s="23"/>
      <c r="E173" s="22"/>
      <c r="F173" s="22"/>
      <c r="G173" s="22"/>
      <c r="H173" s="23"/>
      <c r="I173" s="22"/>
      <c r="J173" s="22"/>
      <c r="K173" s="22"/>
      <c r="L173" s="23"/>
      <c r="M173" s="71"/>
      <c r="N173" s="71"/>
      <c r="O173" s="22"/>
      <c r="P173" s="22"/>
      <c r="Q173" s="22"/>
      <c r="R173" s="71"/>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row>
    <row r="174" spans="1:51" x14ac:dyDescent="0.3">
      <c r="A174" s="22"/>
      <c r="B174" s="71"/>
      <c r="C174" s="22"/>
      <c r="D174" s="23"/>
      <c r="E174" s="22"/>
      <c r="F174" s="22"/>
      <c r="G174" s="22"/>
      <c r="H174" s="23"/>
      <c r="I174" s="22"/>
      <c r="J174" s="22"/>
      <c r="K174" s="22"/>
      <c r="L174" s="23"/>
      <c r="M174" s="71"/>
      <c r="N174" s="71"/>
      <c r="O174" s="22"/>
      <c r="P174" s="22"/>
      <c r="Q174" s="22"/>
      <c r="R174" s="71"/>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row>
    <row r="175" spans="1:51" x14ac:dyDescent="0.3">
      <c r="A175" s="22"/>
      <c r="B175" s="71"/>
      <c r="C175" s="22"/>
      <c r="D175" s="23"/>
      <c r="E175" s="22"/>
      <c r="F175" s="22"/>
      <c r="G175" s="22"/>
      <c r="H175" s="23"/>
      <c r="I175" s="22"/>
      <c r="J175" s="22"/>
      <c r="K175" s="22"/>
      <c r="L175" s="23"/>
      <c r="M175" s="71"/>
      <c r="N175" s="71"/>
      <c r="O175" s="22"/>
      <c r="P175" s="22"/>
      <c r="Q175" s="22"/>
      <c r="R175" s="71"/>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row>
    <row r="176" spans="1:51" x14ac:dyDescent="0.3">
      <c r="A176" s="22"/>
      <c r="B176" s="71"/>
      <c r="C176" s="22"/>
      <c r="D176" s="23"/>
      <c r="E176" s="22"/>
      <c r="F176" s="22"/>
      <c r="G176" s="22"/>
      <c r="H176" s="23"/>
      <c r="I176" s="22"/>
      <c r="J176" s="22"/>
      <c r="K176" s="22"/>
      <c r="L176" s="23"/>
      <c r="M176" s="71"/>
      <c r="N176" s="71"/>
      <c r="O176" s="22"/>
      <c r="P176" s="22"/>
      <c r="Q176" s="22"/>
      <c r="R176" s="71"/>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row>
    <row r="177" spans="1:51" x14ac:dyDescent="0.3">
      <c r="A177" s="22"/>
      <c r="B177" s="71"/>
      <c r="C177" s="22"/>
      <c r="D177" s="23"/>
      <c r="E177" s="22"/>
      <c r="F177" s="22"/>
      <c r="G177" s="22"/>
      <c r="H177" s="23"/>
      <c r="I177" s="22"/>
      <c r="J177" s="22"/>
      <c r="K177" s="22"/>
      <c r="L177" s="23"/>
      <c r="M177" s="71"/>
      <c r="N177" s="71"/>
      <c r="O177" s="22"/>
      <c r="P177" s="22"/>
      <c r="Q177" s="22"/>
      <c r="R177" s="71"/>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row>
    <row r="178" spans="1:51" x14ac:dyDescent="0.3">
      <c r="A178" s="22"/>
      <c r="B178" s="71"/>
      <c r="C178" s="22"/>
      <c r="D178" s="23"/>
      <c r="E178" s="22"/>
      <c r="F178" s="22"/>
      <c r="G178" s="22"/>
      <c r="H178" s="23"/>
      <c r="I178" s="22"/>
      <c r="J178" s="22"/>
      <c r="K178" s="22"/>
      <c r="L178" s="23"/>
      <c r="M178" s="71"/>
      <c r="N178" s="71"/>
      <c r="O178" s="22"/>
      <c r="P178" s="22"/>
      <c r="Q178" s="22"/>
      <c r="R178" s="71"/>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row>
    <row r="179" spans="1:51" x14ac:dyDescent="0.3">
      <c r="A179" s="22"/>
      <c r="B179" s="71"/>
      <c r="C179" s="22"/>
      <c r="D179" s="23"/>
      <c r="E179" s="22"/>
      <c r="F179" s="22"/>
      <c r="G179" s="22"/>
      <c r="H179" s="23"/>
      <c r="I179" s="22"/>
      <c r="J179" s="22"/>
      <c r="K179" s="22"/>
      <c r="L179" s="23"/>
      <c r="M179" s="71"/>
      <c r="N179" s="71"/>
      <c r="O179" s="22"/>
      <c r="P179" s="22"/>
      <c r="Q179" s="22"/>
      <c r="R179" s="71"/>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row>
    <row r="180" spans="1:51" x14ac:dyDescent="0.3">
      <c r="A180" s="22"/>
      <c r="B180" s="71"/>
      <c r="C180" s="22"/>
      <c r="D180" s="23"/>
      <c r="E180" s="22"/>
      <c r="F180" s="22"/>
      <c r="G180" s="22"/>
      <c r="H180" s="23"/>
      <c r="I180" s="22"/>
      <c r="J180" s="22"/>
      <c r="K180" s="22"/>
      <c r="L180" s="23"/>
      <c r="M180" s="71"/>
      <c r="N180" s="71"/>
      <c r="O180" s="22"/>
      <c r="P180" s="22"/>
      <c r="Q180" s="22"/>
      <c r="R180" s="71"/>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row>
    <row r="181" spans="1:51" x14ac:dyDescent="0.3">
      <c r="A181" s="22"/>
      <c r="B181" s="71"/>
      <c r="C181" s="22"/>
      <c r="D181" s="23"/>
      <c r="E181" s="22"/>
      <c r="F181" s="22"/>
      <c r="G181" s="22"/>
      <c r="H181" s="23"/>
      <c r="I181" s="22"/>
      <c r="J181" s="22"/>
      <c r="K181" s="22"/>
      <c r="L181" s="23"/>
      <c r="M181" s="71"/>
      <c r="N181" s="71"/>
      <c r="O181" s="22"/>
      <c r="P181" s="22"/>
      <c r="Q181" s="22"/>
      <c r="R181" s="71"/>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row>
    <row r="182" spans="1:51" x14ac:dyDescent="0.3">
      <c r="A182" s="22"/>
      <c r="B182" s="71"/>
      <c r="C182" s="22"/>
      <c r="D182" s="23"/>
      <c r="E182" s="22"/>
      <c r="F182" s="22"/>
      <c r="G182" s="22"/>
      <c r="H182" s="23"/>
      <c r="I182" s="22"/>
      <c r="J182" s="22"/>
      <c r="K182" s="22"/>
      <c r="L182" s="23"/>
      <c r="M182" s="71"/>
      <c r="N182" s="71"/>
      <c r="O182" s="22"/>
      <c r="P182" s="22"/>
      <c r="Q182" s="22"/>
      <c r="R182" s="71"/>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row>
    <row r="183" spans="1:51" x14ac:dyDescent="0.3">
      <c r="A183" s="22"/>
      <c r="B183" s="71"/>
      <c r="C183" s="22"/>
      <c r="D183" s="23"/>
      <c r="E183" s="22"/>
      <c r="F183" s="22"/>
      <c r="G183" s="22"/>
      <c r="H183" s="23"/>
      <c r="I183" s="22"/>
      <c r="J183" s="22"/>
      <c r="K183" s="22"/>
      <c r="L183" s="23"/>
      <c r="M183" s="71"/>
      <c r="N183" s="71"/>
      <c r="O183" s="22"/>
      <c r="P183" s="22"/>
      <c r="Q183" s="22"/>
      <c r="R183" s="71"/>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row>
    <row r="184" spans="1:51" x14ac:dyDescent="0.3">
      <c r="A184" s="22"/>
      <c r="B184" s="71"/>
      <c r="C184" s="22"/>
      <c r="D184" s="23"/>
      <c r="E184" s="22"/>
      <c r="F184" s="22"/>
      <c r="G184" s="22"/>
      <c r="H184" s="23"/>
      <c r="I184" s="22"/>
      <c r="J184" s="22"/>
      <c r="K184" s="22"/>
      <c r="L184" s="23"/>
      <c r="M184" s="71"/>
      <c r="N184" s="71"/>
      <c r="O184" s="22"/>
      <c r="P184" s="22"/>
      <c r="Q184" s="22"/>
      <c r="R184" s="71"/>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row>
    <row r="185" spans="1:51" x14ac:dyDescent="0.3">
      <c r="A185" s="22"/>
      <c r="B185" s="71"/>
      <c r="C185" s="22"/>
      <c r="D185" s="23"/>
      <c r="E185" s="22"/>
      <c r="F185" s="22"/>
      <c r="G185" s="22"/>
      <c r="H185" s="23"/>
      <c r="I185" s="22"/>
      <c r="J185" s="22"/>
      <c r="K185" s="22"/>
      <c r="L185" s="23"/>
      <c r="M185" s="71"/>
      <c r="N185" s="71"/>
      <c r="O185" s="22"/>
      <c r="P185" s="22"/>
      <c r="Q185" s="22"/>
      <c r="R185" s="71"/>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row>
    <row r="186" spans="1:51" x14ac:dyDescent="0.3">
      <c r="A186" s="22"/>
      <c r="B186" s="71"/>
      <c r="C186" s="22"/>
      <c r="D186" s="23"/>
      <c r="E186" s="22"/>
      <c r="F186" s="22"/>
      <c r="G186" s="22"/>
      <c r="H186" s="23"/>
      <c r="I186" s="22"/>
      <c r="J186" s="22"/>
      <c r="K186" s="22"/>
      <c r="L186" s="23"/>
      <c r="M186" s="71"/>
      <c r="N186" s="71"/>
      <c r="O186" s="22"/>
      <c r="P186" s="22"/>
      <c r="Q186" s="22"/>
      <c r="R186" s="71"/>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row>
    <row r="187" spans="1:51" x14ac:dyDescent="0.3">
      <c r="A187" s="22"/>
      <c r="B187" s="71"/>
      <c r="C187" s="22"/>
      <c r="D187" s="23"/>
      <c r="E187" s="22"/>
      <c r="F187" s="22"/>
      <c r="G187" s="22"/>
      <c r="H187" s="23"/>
      <c r="I187" s="22"/>
      <c r="J187" s="22"/>
      <c r="K187" s="22"/>
      <c r="L187" s="23"/>
      <c r="M187" s="71"/>
      <c r="N187" s="71"/>
      <c r="O187" s="22"/>
      <c r="P187" s="22"/>
      <c r="Q187" s="22"/>
      <c r="R187" s="71"/>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row>
    <row r="188" spans="1:51" x14ac:dyDescent="0.3">
      <c r="A188" s="22"/>
      <c r="B188" s="71"/>
      <c r="C188" s="22"/>
      <c r="D188" s="23"/>
      <c r="E188" s="22"/>
      <c r="F188" s="22"/>
      <c r="G188" s="22"/>
      <c r="H188" s="23"/>
      <c r="I188" s="22"/>
      <c r="J188" s="22"/>
      <c r="K188" s="22"/>
      <c r="L188" s="23"/>
      <c r="M188" s="71"/>
      <c r="N188" s="71"/>
      <c r="O188" s="22"/>
      <c r="P188" s="22"/>
      <c r="Q188" s="22"/>
      <c r="R188" s="71"/>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row>
    <row r="189" spans="1:51" x14ac:dyDescent="0.3">
      <c r="A189" s="22"/>
      <c r="B189" s="71"/>
      <c r="C189" s="22"/>
      <c r="D189" s="23"/>
      <c r="E189" s="22"/>
      <c r="F189" s="22"/>
      <c r="G189" s="22"/>
      <c r="H189" s="23"/>
      <c r="I189" s="22"/>
      <c r="J189" s="22"/>
      <c r="K189" s="22"/>
      <c r="L189" s="23"/>
      <c r="M189" s="71"/>
      <c r="N189" s="71"/>
      <c r="O189" s="22"/>
      <c r="P189" s="22"/>
      <c r="Q189" s="22"/>
      <c r="R189" s="71"/>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row>
    <row r="190" spans="1:51" x14ac:dyDescent="0.3">
      <c r="A190" s="22"/>
      <c r="B190" s="71"/>
      <c r="C190" s="22"/>
      <c r="D190" s="23"/>
      <c r="E190" s="22"/>
      <c r="F190" s="22"/>
      <c r="G190" s="22"/>
      <c r="H190" s="23"/>
      <c r="I190" s="22"/>
      <c r="J190" s="22"/>
      <c r="K190" s="22"/>
      <c r="L190" s="23"/>
      <c r="M190" s="71"/>
      <c r="N190" s="71"/>
      <c r="O190" s="22"/>
      <c r="P190" s="22"/>
      <c r="Q190" s="22"/>
      <c r="R190" s="71"/>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row>
    <row r="191" spans="1:51" x14ac:dyDescent="0.3">
      <c r="A191" s="22"/>
      <c r="B191" s="71"/>
      <c r="C191" s="22"/>
      <c r="D191" s="23"/>
      <c r="E191" s="22"/>
      <c r="F191" s="22"/>
      <c r="G191" s="22"/>
      <c r="H191" s="23"/>
      <c r="I191" s="22"/>
      <c r="J191" s="22"/>
      <c r="K191" s="22"/>
      <c r="L191" s="23"/>
      <c r="M191" s="71"/>
      <c r="N191" s="71"/>
      <c r="O191" s="22"/>
      <c r="P191" s="22"/>
      <c r="Q191" s="22"/>
      <c r="R191" s="71"/>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row>
    <row r="192" spans="1:51" x14ac:dyDescent="0.3">
      <c r="A192" s="22"/>
      <c r="B192" s="71"/>
      <c r="C192" s="22"/>
      <c r="D192" s="23"/>
      <c r="E192" s="22"/>
      <c r="F192" s="22"/>
      <c r="G192" s="22"/>
      <c r="H192" s="23"/>
      <c r="I192" s="22"/>
      <c r="J192" s="22"/>
      <c r="K192" s="22"/>
      <c r="L192" s="23"/>
      <c r="M192" s="71"/>
      <c r="N192" s="71"/>
      <c r="O192" s="22"/>
      <c r="P192" s="22"/>
      <c r="Q192" s="22"/>
      <c r="R192" s="71"/>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row>
    <row r="193" spans="1:51" x14ac:dyDescent="0.3">
      <c r="A193" s="22"/>
      <c r="B193" s="71"/>
      <c r="C193" s="22"/>
      <c r="D193" s="23"/>
      <c r="E193" s="22"/>
      <c r="F193" s="22"/>
      <c r="G193" s="22"/>
      <c r="H193" s="23"/>
      <c r="I193" s="22"/>
      <c r="J193" s="22"/>
      <c r="K193" s="22"/>
      <c r="L193" s="23"/>
      <c r="M193" s="71"/>
      <c r="N193" s="71"/>
      <c r="O193" s="22"/>
      <c r="P193" s="22"/>
      <c r="Q193" s="22"/>
      <c r="R193" s="71"/>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row>
    <row r="194" spans="1:51" x14ac:dyDescent="0.3">
      <c r="A194" s="22"/>
      <c r="B194" s="71"/>
      <c r="C194" s="22"/>
      <c r="D194" s="23"/>
      <c r="E194" s="22"/>
      <c r="F194" s="22"/>
      <c r="G194" s="22"/>
      <c r="H194" s="23"/>
      <c r="I194" s="22"/>
      <c r="J194" s="22"/>
      <c r="K194" s="22"/>
      <c r="L194" s="23"/>
      <c r="M194" s="71"/>
      <c r="N194" s="71"/>
      <c r="O194" s="22"/>
      <c r="P194" s="22"/>
      <c r="Q194" s="22"/>
      <c r="R194" s="71"/>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row>
    <row r="195" spans="1:51" x14ac:dyDescent="0.3">
      <c r="A195" s="22"/>
      <c r="B195" s="71"/>
      <c r="C195" s="22"/>
      <c r="D195" s="23"/>
      <c r="E195" s="22"/>
      <c r="F195" s="22"/>
      <c r="G195" s="22"/>
      <c r="H195" s="23"/>
      <c r="I195" s="22"/>
      <c r="J195" s="22"/>
      <c r="K195" s="22"/>
      <c r="L195" s="23"/>
      <c r="M195" s="71"/>
      <c r="N195" s="71"/>
      <c r="O195" s="22"/>
      <c r="P195" s="22"/>
      <c r="Q195" s="22"/>
      <c r="R195" s="71"/>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row>
    <row r="196" spans="1:51" x14ac:dyDescent="0.3">
      <c r="A196" s="22"/>
      <c r="B196" s="71"/>
      <c r="C196" s="22"/>
      <c r="D196" s="23"/>
      <c r="E196" s="22"/>
      <c r="F196" s="22"/>
      <c r="G196" s="22"/>
      <c r="H196" s="23"/>
      <c r="I196" s="22"/>
      <c r="J196" s="22"/>
      <c r="K196" s="22"/>
      <c r="L196" s="23"/>
      <c r="M196" s="71"/>
      <c r="N196" s="71"/>
      <c r="O196" s="22"/>
      <c r="P196" s="22"/>
      <c r="Q196" s="22"/>
      <c r="R196" s="71"/>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row>
    <row r="197" spans="1:51" x14ac:dyDescent="0.3">
      <c r="A197" s="22"/>
      <c r="B197" s="71"/>
      <c r="C197" s="22"/>
      <c r="D197" s="23"/>
      <c r="E197" s="22"/>
      <c r="F197" s="22"/>
      <c r="G197" s="22"/>
      <c r="H197" s="23"/>
      <c r="I197" s="22"/>
      <c r="J197" s="22"/>
      <c r="K197" s="22"/>
      <c r="L197" s="23"/>
      <c r="M197" s="71"/>
      <c r="N197" s="71"/>
      <c r="O197" s="22"/>
      <c r="P197" s="22"/>
      <c r="Q197" s="22"/>
      <c r="R197" s="71"/>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row>
    <row r="198" spans="1:51" x14ac:dyDescent="0.3">
      <c r="A198" s="22"/>
      <c r="B198" s="71"/>
      <c r="C198" s="22"/>
      <c r="D198" s="23"/>
      <c r="E198" s="22"/>
      <c r="F198" s="22"/>
      <c r="G198" s="22"/>
      <c r="H198" s="23"/>
      <c r="I198" s="22"/>
      <c r="J198" s="22"/>
      <c r="K198" s="22"/>
      <c r="L198" s="23"/>
      <c r="M198" s="71"/>
      <c r="N198" s="71"/>
      <c r="O198" s="22"/>
      <c r="P198" s="22"/>
      <c r="Q198" s="22"/>
      <c r="R198" s="71"/>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row>
    <row r="199" spans="1:51" x14ac:dyDescent="0.3">
      <c r="A199" s="22"/>
      <c r="B199" s="71"/>
      <c r="C199" s="22"/>
      <c r="D199" s="23"/>
      <c r="E199" s="22"/>
      <c r="F199" s="22"/>
      <c r="G199" s="22"/>
      <c r="H199" s="23"/>
      <c r="I199" s="22"/>
      <c r="J199" s="22"/>
      <c r="K199" s="22"/>
      <c r="L199" s="23"/>
      <c r="M199" s="71"/>
      <c r="N199" s="71"/>
      <c r="O199" s="22"/>
      <c r="P199" s="22"/>
      <c r="Q199" s="22"/>
      <c r="R199" s="71"/>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row>
    <row r="200" spans="1:51" x14ac:dyDescent="0.3">
      <c r="A200" s="22"/>
      <c r="B200" s="71"/>
      <c r="C200" s="22"/>
      <c r="D200" s="23"/>
      <c r="E200" s="22"/>
      <c r="F200" s="22"/>
      <c r="G200" s="22"/>
      <c r="H200" s="23"/>
      <c r="I200" s="22"/>
      <c r="J200" s="22"/>
      <c r="K200" s="22"/>
      <c r="L200" s="23"/>
      <c r="M200" s="71"/>
      <c r="N200" s="71"/>
      <c r="O200" s="22"/>
      <c r="P200" s="22"/>
      <c r="Q200" s="22"/>
      <c r="R200" s="71"/>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row>
    <row r="201" spans="1:51" x14ac:dyDescent="0.3">
      <c r="A201" s="22"/>
      <c r="B201" s="71"/>
      <c r="C201" s="22"/>
      <c r="D201" s="23"/>
      <c r="E201" s="22"/>
      <c r="F201" s="22"/>
      <c r="G201" s="22"/>
      <c r="H201" s="23"/>
      <c r="I201" s="22"/>
      <c r="J201" s="22"/>
      <c r="K201" s="22"/>
      <c r="L201" s="23"/>
      <c r="M201" s="71"/>
      <c r="N201" s="71"/>
      <c r="O201" s="22"/>
      <c r="P201" s="22"/>
      <c r="Q201" s="22"/>
      <c r="R201" s="71"/>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row>
    <row r="202" spans="1:51" x14ac:dyDescent="0.3">
      <c r="A202" s="22"/>
      <c r="B202" s="71"/>
      <c r="C202" s="22"/>
      <c r="D202" s="23"/>
      <c r="E202" s="22"/>
      <c r="F202" s="22"/>
      <c r="G202" s="22"/>
      <c r="H202" s="23"/>
      <c r="I202" s="22"/>
      <c r="J202" s="22"/>
      <c r="K202" s="22"/>
      <c r="L202" s="23"/>
      <c r="M202" s="71"/>
      <c r="N202" s="71"/>
      <c r="O202" s="22"/>
      <c r="P202" s="22"/>
      <c r="Q202" s="22"/>
      <c r="R202" s="71"/>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row>
    <row r="203" spans="1:51" x14ac:dyDescent="0.3">
      <c r="A203" s="22"/>
      <c r="B203" s="71"/>
      <c r="C203" s="22"/>
      <c r="D203" s="23"/>
      <c r="E203" s="22"/>
      <c r="F203" s="22"/>
      <c r="G203" s="22"/>
      <c r="H203" s="23"/>
      <c r="I203" s="22"/>
      <c r="J203" s="22"/>
      <c r="K203" s="22"/>
      <c r="L203" s="23"/>
      <c r="M203" s="71"/>
      <c r="N203" s="71"/>
      <c r="O203" s="22"/>
      <c r="P203" s="22"/>
      <c r="Q203" s="22"/>
      <c r="R203" s="71"/>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row>
    <row r="204" spans="1:51" x14ac:dyDescent="0.3">
      <c r="A204" s="22"/>
      <c r="B204" s="71"/>
      <c r="C204" s="22"/>
      <c r="D204" s="23"/>
      <c r="E204" s="22"/>
      <c r="F204" s="22"/>
      <c r="G204" s="22"/>
      <c r="H204" s="23"/>
      <c r="I204" s="22"/>
      <c r="J204" s="22"/>
      <c r="K204" s="22"/>
      <c r="L204" s="23"/>
      <c r="M204" s="71"/>
      <c r="N204" s="71"/>
      <c r="O204" s="22"/>
      <c r="P204" s="22"/>
      <c r="Q204" s="22"/>
      <c r="R204" s="71"/>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row>
    <row r="205" spans="1:51" x14ac:dyDescent="0.3">
      <c r="A205" s="22"/>
      <c r="B205" s="71"/>
      <c r="C205" s="22"/>
      <c r="D205" s="23"/>
      <c r="E205" s="22"/>
      <c r="F205" s="22"/>
      <c r="G205" s="22"/>
      <c r="H205" s="23"/>
      <c r="I205" s="22"/>
      <c r="J205" s="22"/>
      <c r="K205" s="22"/>
      <c r="L205" s="23"/>
      <c r="M205" s="71"/>
      <c r="N205" s="71"/>
      <c r="O205" s="22"/>
      <c r="P205" s="22"/>
      <c r="Q205" s="22"/>
      <c r="R205" s="71"/>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row>
    <row r="206" spans="1:51" x14ac:dyDescent="0.3">
      <c r="A206" s="22"/>
      <c r="B206" s="71"/>
      <c r="C206" s="22"/>
      <c r="D206" s="23"/>
      <c r="E206" s="22"/>
      <c r="F206" s="22"/>
      <c r="G206" s="22"/>
      <c r="H206" s="23"/>
      <c r="I206" s="22"/>
      <c r="J206" s="22"/>
      <c r="K206" s="22"/>
      <c r="L206" s="23"/>
      <c r="M206" s="71"/>
      <c r="N206" s="71"/>
      <c r="O206" s="22"/>
      <c r="P206" s="22"/>
      <c r="Q206" s="22"/>
      <c r="R206" s="71"/>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row>
    <row r="207" spans="1:51" x14ac:dyDescent="0.3">
      <c r="A207" s="22"/>
      <c r="B207" s="71"/>
      <c r="C207" s="22"/>
      <c r="D207" s="23"/>
      <c r="E207" s="22"/>
      <c r="F207" s="22"/>
      <c r="G207" s="22"/>
      <c r="H207" s="23"/>
      <c r="I207" s="22"/>
      <c r="J207" s="22"/>
      <c r="K207" s="22"/>
      <c r="L207" s="23"/>
      <c r="M207" s="71"/>
      <c r="N207" s="71"/>
      <c r="O207" s="22"/>
      <c r="P207" s="22"/>
      <c r="Q207" s="22"/>
      <c r="R207" s="71"/>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row>
    <row r="208" spans="1:51" x14ac:dyDescent="0.3">
      <c r="A208" s="22"/>
      <c r="B208" s="71"/>
      <c r="C208" s="22"/>
      <c r="D208" s="23"/>
      <c r="E208" s="22"/>
      <c r="F208" s="22"/>
      <c r="G208" s="22"/>
      <c r="H208" s="23"/>
      <c r="I208" s="22"/>
      <c r="J208" s="22"/>
      <c r="K208" s="22"/>
      <c r="L208" s="23"/>
      <c r="M208" s="71"/>
      <c r="N208" s="71"/>
      <c r="O208" s="22"/>
      <c r="P208" s="22"/>
      <c r="Q208" s="22"/>
      <c r="R208" s="71"/>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row>
    <row r="209" spans="1:51" x14ac:dyDescent="0.3">
      <c r="A209" s="22"/>
      <c r="B209" s="71"/>
      <c r="C209" s="22"/>
      <c r="D209" s="23"/>
      <c r="E209" s="22"/>
      <c r="F209" s="22"/>
      <c r="G209" s="22"/>
      <c r="H209" s="23"/>
      <c r="I209" s="22"/>
      <c r="J209" s="22"/>
      <c r="K209" s="22"/>
      <c r="L209" s="23"/>
      <c r="M209" s="71"/>
      <c r="N209" s="71"/>
      <c r="O209" s="22"/>
      <c r="P209" s="22"/>
      <c r="Q209" s="22"/>
      <c r="R209" s="71"/>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row>
    <row r="210" spans="1:51" x14ac:dyDescent="0.3">
      <c r="A210" s="22"/>
      <c r="B210" s="71"/>
      <c r="C210" s="22"/>
      <c r="D210" s="23"/>
      <c r="E210" s="22"/>
      <c r="F210" s="22"/>
      <c r="G210" s="22"/>
      <c r="H210" s="23"/>
      <c r="I210" s="22"/>
      <c r="J210" s="22"/>
      <c r="K210" s="22"/>
      <c r="L210" s="23"/>
      <c r="M210" s="71"/>
      <c r="N210" s="71"/>
      <c r="O210" s="22"/>
      <c r="P210" s="22"/>
      <c r="Q210" s="22"/>
      <c r="R210" s="71"/>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row>
    <row r="211" spans="1:51" x14ac:dyDescent="0.3">
      <c r="A211" s="22"/>
      <c r="B211" s="71"/>
      <c r="C211" s="22"/>
      <c r="D211" s="23"/>
      <c r="E211" s="22"/>
      <c r="F211" s="22"/>
      <c r="G211" s="22"/>
      <c r="H211" s="23"/>
      <c r="I211" s="22"/>
      <c r="J211" s="22"/>
      <c r="K211" s="22"/>
      <c r="L211" s="23"/>
      <c r="M211" s="71"/>
      <c r="N211" s="71"/>
      <c r="O211" s="22"/>
      <c r="P211" s="22"/>
      <c r="Q211" s="22"/>
      <c r="R211" s="71"/>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row>
    <row r="212" spans="1:51" x14ac:dyDescent="0.3">
      <c r="A212" s="22"/>
      <c r="B212" s="71"/>
      <c r="C212" s="22"/>
      <c r="D212" s="23"/>
      <c r="E212" s="22"/>
      <c r="F212" s="22"/>
      <c r="G212" s="22"/>
      <c r="H212" s="23"/>
      <c r="I212" s="22"/>
      <c r="J212" s="22"/>
      <c r="K212" s="22"/>
      <c r="L212" s="23"/>
      <c r="M212" s="71"/>
      <c r="N212" s="71"/>
      <c r="O212" s="22"/>
      <c r="P212" s="22"/>
      <c r="Q212" s="22"/>
      <c r="R212" s="71"/>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row>
    <row r="213" spans="1:51" x14ac:dyDescent="0.3">
      <c r="A213" s="22"/>
      <c r="B213" s="71"/>
      <c r="C213" s="22"/>
      <c r="D213" s="23"/>
      <c r="E213" s="22"/>
      <c r="F213" s="22"/>
      <c r="G213" s="22"/>
      <c r="H213" s="23"/>
      <c r="I213" s="22"/>
      <c r="J213" s="22"/>
      <c r="K213" s="22"/>
      <c r="L213" s="23"/>
      <c r="M213" s="71"/>
      <c r="N213" s="71"/>
      <c r="O213" s="22"/>
      <c r="P213" s="22"/>
      <c r="Q213" s="22"/>
      <c r="R213" s="71"/>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row>
    <row r="214" spans="1:51" x14ac:dyDescent="0.3">
      <c r="A214" s="22"/>
      <c r="B214" s="71"/>
      <c r="C214" s="22"/>
      <c r="D214" s="23"/>
      <c r="E214" s="22"/>
      <c r="F214" s="22"/>
      <c r="G214" s="22"/>
      <c r="H214" s="23"/>
      <c r="I214" s="22"/>
      <c r="J214" s="22"/>
      <c r="K214" s="22"/>
      <c r="L214" s="23"/>
      <c r="M214" s="71"/>
      <c r="N214" s="71"/>
      <c r="O214" s="22"/>
      <c r="P214" s="22"/>
      <c r="Q214" s="22"/>
      <c r="R214" s="71"/>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row>
    <row r="215" spans="1:51" x14ac:dyDescent="0.3">
      <c r="A215" s="22"/>
      <c r="B215" s="71"/>
      <c r="C215" s="22"/>
      <c r="D215" s="23"/>
      <c r="E215" s="22"/>
      <c r="F215" s="22"/>
      <c r="G215" s="22"/>
      <c r="H215" s="23"/>
      <c r="I215" s="22"/>
      <c r="J215" s="22"/>
      <c r="K215" s="22"/>
      <c r="L215" s="23"/>
      <c r="M215" s="71"/>
      <c r="N215" s="71"/>
      <c r="O215" s="22"/>
      <c r="P215" s="22"/>
      <c r="Q215" s="22"/>
      <c r="R215" s="71"/>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row>
    <row r="216" spans="1:51" x14ac:dyDescent="0.3">
      <c r="A216" s="22"/>
      <c r="B216" s="71"/>
      <c r="C216" s="22"/>
      <c r="D216" s="23"/>
      <c r="E216" s="22"/>
      <c r="F216" s="22"/>
      <c r="G216" s="22"/>
      <c r="H216" s="23"/>
      <c r="I216" s="22"/>
      <c r="J216" s="22"/>
      <c r="K216" s="22"/>
      <c r="L216" s="23"/>
      <c r="M216" s="71"/>
      <c r="N216" s="71"/>
      <c r="O216" s="22"/>
      <c r="P216" s="22"/>
      <c r="Q216" s="22"/>
      <c r="R216" s="71"/>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row>
    <row r="217" spans="1:51" x14ac:dyDescent="0.3">
      <c r="A217" s="22"/>
      <c r="B217" s="71"/>
      <c r="C217" s="22"/>
      <c r="D217" s="23"/>
      <c r="E217" s="22"/>
      <c r="F217" s="22"/>
      <c r="G217" s="22"/>
      <c r="H217" s="23"/>
      <c r="I217" s="22"/>
      <c r="J217" s="22"/>
      <c r="K217" s="22"/>
      <c r="L217" s="23"/>
      <c r="M217" s="71"/>
      <c r="N217" s="71"/>
      <c r="O217" s="22"/>
      <c r="P217" s="22"/>
      <c r="Q217" s="22"/>
      <c r="R217" s="71"/>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row>
    <row r="218" spans="1:51" x14ac:dyDescent="0.3">
      <c r="A218" s="22"/>
      <c r="B218" s="71"/>
      <c r="C218" s="22"/>
      <c r="D218" s="23"/>
      <c r="E218" s="22"/>
      <c r="F218" s="22"/>
      <c r="G218" s="22"/>
      <c r="H218" s="23"/>
      <c r="I218" s="22"/>
      <c r="J218" s="22"/>
      <c r="K218" s="22"/>
      <c r="L218" s="23"/>
      <c r="M218" s="71"/>
      <c r="N218" s="71"/>
      <c r="O218" s="22"/>
      <c r="P218" s="22"/>
      <c r="Q218" s="22"/>
      <c r="R218" s="71"/>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row>
    <row r="219" spans="1:51" x14ac:dyDescent="0.3">
      <c r="A219" s="22"/>
      <c r="B219" s="71"/>
      <c r="C219" s="22"/>
      <c r="D219" s="23"/>
      <c r="E219" s="22"/>
      <c r="F219" s="22"/>
      <c r="G219" s="22"/>
      <c r="H219" s="23"/>
      <c r="I219" s="22"/>
      <c r="J219" s="22"/>
      <c r="K219" s="22"/>
      <c r="L219" s="23"/>
      <c r="M219" s="71"/>
      <c r="N219" s="71"/>
      <c r="O219" s="22"/>
      <c r="P219" s="22"/>
      <c r="Q219" s="22"/>
      <c r="R219" s="71"/>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row>
    <row r="220" spans="1:51" x14ac:dyDescent="0.3">
      <c r="A220" s="22"/>
      <c r="B220" s="71"/>
      <c r="C220" s="22"/>
      <c r="D220" s="23"/>
      <c r="E220" s="22"/>
      <c r="F220" s="22"/>
      <c r="G220" s="22"/>
      <c r="H220" s="23"/>
      <c r="I220" s="22"/>
      <c r="J220" s="22"/>
      <c r="K220" s="22"/>
      <c r="L220" s="23"/>
      <c r="M220" s="71"/>
      <c r="N220" s="71"/>
      <c r="O220" s="22"/>
      <c r="P220" s="22"/>
      <c r="Q220" s="22"/>
      <c r="R220" s="71"/>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row>
    <row r="221" spans="1:51" x14ac:dyDescent="0.3">
      <c r="A221" s="22"/>
      <c r="B221" s="71"/>
      <c r="C221" s="22"/>
      <c r="D221" s="23"/>
      <c r="E221" s="22"/>
      <c r="F221" s="22"/>
      <c r="G221" s="22"/>
      <c r="H221" s="23"/>
      <c r="I221" s="22"/>
      <c r="J221" s="22"/>
      <c r="K221" s="22"/>
      <c r="L221" s="23"/>
      <c r="M221" s="71"/>
      <c r="N221" s="71"/>
      <c r="O221" s="22"/>
      <c r="P221" s="22"/>
      <c r="Q221" s="22"/>
      <c r="R221" s="71"/>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row>
    <row r="222" spans="1:51" x14ac:dyDescent="0.3">
      <c r="A222" s="22"/>
      <c r="B222" s="71"/>
      <c r="C222" s="22"/>
      <c r="D222" s="23"/>
      <c r="E222" s="22"/>
      <c r="F222" s="22"/>
      <c r="G222" s="22"/>
      <c r="H222" s="23"/>
      <c r="I222" s="22"/>
      <c r="J222" s="22"/>
      <c r="K222" s="22"/>
      <c r="L222" s="23"/>
      <c r="M222" s="71"/>
      <c r="N222" s="71"/>
      <c r="O222" s="22"/>
      <c r="P222" s="22"/>
      <c r="Q222" s="22"/>
      <c r="R222" s="71"/>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row>
    <row r="223" spans="1:51" x14ac:dyDescent="0.3">
      <c r="A223" s="22"/>
      <c r="B223" s="71"/>
      <c r="C223" s="22"/>
      <c r="D223" s="23"/>
      <c r="E223" s="22"/>
      <c r="F223" s="22"/>
      <c r="G223" s="22"/>
      <c r="H223" s="23"/>
      <c r="I223" s="22"/>
      <c r="J223" s="22"/>
      <c r="K223" s="22"/>
      <c r="L223" s="23"/>
      <c r="M223" s="71"/>
      <c r="N223" s="71"/>
      <c r="O223" s="22"/>
      <c r="P223" s="22"/>
      <c r="Q223" s="22"/>
      <c r="R223" s="71"/>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row>
    <row r="224" spans="1:51" x14ac:dyDescent="0.3">
      <c r="A224" s="22"/>
      <c r="B224" s="71"/>
      <c r="C224" s="22"/>
      <c r="D224" s="23"/>
      <c r="E224" s="22"/>
      <c r="F224" s="22"/>
      <c r="G224" s="22"/>
      <c r="H224" s="23"/>
      <c r="I224" s="22"/>
      <c r="J224" s="22"/>
      <c r="K224" s="22"/>
      <c r="L224" s="23"/>
      <c r="M224" s="71"/>
      <c r="N224" s="71"/>
      <c r="O224" s="22"/>
      <c r="P224" s="22"/>
      <c r="Q224" s="22"/>
      <c r="R224" s="71"/>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row>
    <row r="225" spans="1:51" x14ac:dyDescent="0.3">
      <c r="A225" s="22"/>
      <c r="B225" s="71"/>
      <c r="C225" s="22"/>
      <c r="D225" s="23"/>
      <c r="E225" s="22"/>
      <c r="F225" s="22"/>
      <c r="G225" s="22"/>
      <c r="H225" s="23"/>
      <c r="I225" s="22"/>
      <c r="J225" s="22"/>
      <c r="K225" s="22"/>
      <c r="L225" s="23"/>
      <c r="M225" s="71"/>
      <c r="N225" s="71"/>
      <c r="O225" s="22"/>
      <c r="P225" s="22"/>
      <c r="Q225" s="22"/>
      <c r="R225" s="71"/>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row>
    <row r="226" spans="1:51" x14ac:dyDescent="0.3">
      <c r="A226" s="22"/>
      <c r="B226" s="71"/>
      <c r="C226" s="22"/>
      <c r="D226" s="23"/>
      <c r="E226" s="22"/>
      <c r="F226" s="22"/>
      <c r="G226" s="22"/>
      <c r="H226" s="23"/>
      <c r="I226" s="22"/>
      <c r="J226" s="22"/>
      <c r="K226" s="22"/>
      <c r="L226" s="23"/>
      <c r="M226" s="71"/>
      <c r="N226" s="71"/>
      <c r="O226" s="22"/>
      <c r="P226" s="22"/>
      <c r="Q226" s="22"/>
      <c r="R226" s="71"/>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row>
    <row r="227" spans="1:51" x14ac:dyDescent="0.3">
      <c r="A227" s="22"/>
      <c r="B227" s="71"/>
      <c r="C227" s="22"/>
      <c r="D227" s="23"/>
      <c r="E227" s="22"/>
      <c r="F227" s="22"/>
      <c r="G227" s="22"/>
      <c r="H227" s="23"/>
      <c r="I227" s="22"/>
      <c r="J227" s="22"/>
      <c r="K227" s="22"/>
      <c r="L227" s="23"/>
      <c r="M227" s="71"/>
      <c r="N227" s="71"/>
      <c r="O227" s="22"/>
      <c r="P227" s="22"/>
      <c r="Q227" s="22"/>
      <c r="R227" s="71"/>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row>
    <row r="228" spans="1:51" x14ac:dyDescent="0.3">
      <c r="A228" s="22"/>
      <c r="B228" s="71"/>
      <c r="C228" s="22"/>
      <c r="D228" s="23"/>
      <c r="E228" s="22"/>
      <c r="F228" s="22"/>
      <c r="G228" s="22"/>
      <c r="H228" s="23"/>
      <c r="I228" s="22"/>
      <c r="J228" s="22"/>
      <c r="K228" s="22"/>
      <c r="L228" s="23"/>
      <c r="M228" s="71"/>
      <c r="N228" s="71"/>
      <c r="O228" s="22"/>
      <c r="P228" s="22"/>
      <c r="Q228" s="22"/>
      <c r="R228" s="71"/>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row>
    <row r="229" spans="1:51" x14ac:dyDescent="0.3">
      <c r="A229" s="22"/>
      <c r="B229" s="71"/>
      <c r="C229" s="22"/>
      <c r="D229" s="23"/>
      <c r="E229" s="22"/>
      <c r="F229" s="22"/>
      <c r="G229" s="22"/>
      <c r="H229" s="23"/>
      <c r="I229" s="22"/>
      <c r="J229" s="22"/>
      <c r="K229" s="22"/>
      <c r="L229" s="23"/>
      <c r="M229" s="71"/>
      <c r="N229" s="71"/>
      <c r="O229" s="22"/>
      <c r="P229" s="22"/>
      <c r="Q229" s="22"/>
      <c r="R229" s="71"/>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row>
    <row r="230" spans="1:51" x14ac:dyDescent="0.3">
      <c r="A230" s="22"/>
      <c r="B230" s="71"/>
      <c r="C230" s="22"/>
      <c r="D230" s="23"/>
      <c r="E230" s="22"/>
      <c r="F230" s="22"/>
      <c r="G230" s="22"/>
      <c r="H230" s="23"/>
      <c r="I230" s="22"/>
      <c r="J230" s="22"/>
      <c r="K230" s="22"/>
      <c r="L230" s="23"/>
      <c r="M230" s="71"/>
      <c r="N230" s="71"/>
      <c r="O230" s="22"/>
      <c r="P230" s="22"/>
      <c r="Q230" s="22"/>
      <c r="R230" s="71"/>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row>
    <row r="231" spans="1:51" x14ac:dyDescent="0.3">
      <c r="A231" s="22"/>
      <c r="B231" s="71"/>
      <c r="C231" s="22"/>
      <c r="D231" s="23"/>
      <c r="E231" s="22"/>
      <c r="F231" s="22"/>
      <c r="G231" s="22"/>
      <c r="H231" s="23"/>
      <c r="I231" s="22"/>
      <c r="J231" s="22"/>
      <c r="K231" s="22"/>
      <c r="L231" s="23"/>
      <c r="M231" s="71"/>
      <c r="N231" s="71"/>
      <c r="O231" s="22"/>
      <c r="P231" s="22"/>
      <c r="Q231" s="22"/>
      <c r="R231" s="71"/>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row>
    <row r="232" spans="1:51" x14ac:dyDescent="0.3">
      <c r="A232" s="22"/>
      <c r="B232" s="71"/>
      <c r="C232" s="22"/>
      <c r="D232" s="23"/>
      <c r="E232" s="22"/>
      <c r="F232" s="22"/>
      <c r="G232" s="22"/>
      <c r="H232" s="23"/>
      <c r="I232" s="22"/>
      <c r="J232" s="22"/>
      <c r="K232" s="22"/>
      <c r="L232" s="23"/>
      <c r="M232" s="71"/>
      <c r="N232" s="71"/>
      <c r="O232" s="22"/>
      <c r="P232" s="22"/>
      <c r="Q232" s="22"/>
      <c r="R232" s="71"/>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row>
    <row r="233" spans="1:51" x14ac:dyDescent="0.3">
      <c r="A233" s="22"/>
      <c r="B233" s="71"/>
      <c r="C233" s="22"/>
      <c r="D233" s="23"/>
      <c r="E233" s="22"/>
      <c r="F233" s="22"/>
      <c r="G233" s="22"/>
      <c r="H233" s="23"/>
      <c r="I233" s="22"/>
      <c r="J233" s="22"/>
      <c r="K233" s="22"/>
      <c r="L233" s="23"/>
      <c r="M233" s="71"/>
      <c r="N233" s="71"/>
      <c r="O233" s="22"/>
      <c r="P233" s="22"/>
      <c r="Q233" s="22"/>
      <c r="R233" s="71"/>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row>
    <row r="234" spans="1:51" x14ac:dyDescent="0.3">
      <c r="A234" s="22"/>
      <c r="B234" s="71"/>
      <c r="C234" s="22"/>
      <c r="D234" s="23"/>
      <c r="E234" s="22"/>
      <c r="F234" s="22"/>
      <c r="G234" s="22"/>
      <c r="H234" s="23"/>
      <c r="I234" s="22"/>
      <c r="J234" s="22"/>
      <c r="K234" s="22"/>
      <c r="L234" s="23"/>
      <c r="M234" s="71"/>
      <c r="N234" s="71"/>
      <c r="O234" s="22"/>
      <c r="P234" s="22"/>
      <c r="Q234" s="22"/>
      <c r="R234" s="71"/>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row>
    <row r="235" spans="1:51" x14ac:dyDescent="0.3">
      <c r="A235" s="22"/>
      <c r="B235" s="71"/>
      <c r="C235" s="22"/>
      <c r="D235" s="23"/>
      <c r="E235" s="22"/>
      <c r="F235" s="22"/>
      <c r="G235" s="22"/>
      <c r="H235" s="23"/>
      <c r="I235" s="22"/>
      <c r="J235" s="22"/>
      <c r="K235" s="22"/>
      <c r="L235" s="23"/>
      <c r="M235" s="71"/>
      <c r="N235" s="71"/>
      <c r="O235" s="22"/>
      <c r="P235" s="22"/>
      <c r="Q235" s="22"/>
      <c r="R235" s="71"/>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row>
    <row r="236" spans="1:51" x14ac:dyDescent="0.3">
      <c r="A236" s="22"/>
      <c r="B236" s="71"/>
      <c r="C236" s="22"/>
      <c r="D236" s="23"/>
      <c r="E236" s="22"/>
      <c r="F236" s="22"/>
      <c r="G236" s="22"/>
      <c r="H236" s="23"/>
      <c r="I236" s="22"/>
      <c r="J236" s="22"/>
      <c r="K236" s="22"/>
      <c r="L236" s="23"/>
      <c r="M236" s="71"/>
      <c r="N236" s="71"/>
      <c r="O236" s="22"/>
      <c r="P236" s="22"/>
      <c r="Q236" s="22"/>
      <c r="R236" s="71"/>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row>
    <row r="237" spans="1:51" x14ac:dyDescent="0.3">
      <c r="A237" s="22"/>
      <c r="B237" s="71"/>
      <c r="C237" s="22"/>
      <c r="D237" s="23"/>
      <c r="E237" s="22"/>
      <c r="F237" s="22"/>
      <c r="G237" s="22"/>
      <c r="H237" s="23"/>
      <c r="I237" s="22"/>
      <c r="J237" s="22"/>
      <c r="K237" s="22"/>
      <c r="L237" s="23"/>
      <c r="M237" s="71"/>
      <c r="N237" s="71"/>
      <c r="O237" s="22"/>
      <c r="P237" s="22"/>
      <c r="Q237" s="22"/>
      <c r="R237" s="71"/>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row>
    <row r="238" spans="1:51" x14ac:dyDescent="0.3">
      <c r="A238" s="22"/>
      <c r="B238" s="71"/>
      <c r="C238" s="22"/>
      <c r="D238" s="23"/>
      <c r="E238" s="22"/>
      <c r="F238" s="22"/>
      <c r="G238" s="22"/>
      <c r="H238" s="23"/>
      <c r="I238" s="22"/>
      <c r="J238" s="22"/>
      <c r="K238" s="22"/>
      <c r="L238" s="23"/>
      <c r="M238" s="71"/>
      <c r="N238" s="71"/>
      <c r="O238" s="22"/>
      <c r="P238" s="22"/>
      <c r="Q238" s="22"/>
      <c r="R238" s="71"/>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row>
    <row r="239" spans="1:51" x14ac:dyDescent="0.3">
      <c r="A239" s="22"/>
      <c r="B239" s="71"/>
      <c r="C239" s="22"/>
      <c r="D239" s="23"/>
      <c r="E239" s="22"/>
      <c r="F239" s="22"/>
      <c r="G239" s="22"/>
      <c r="H239" s="23"/>
      <c r="I239" s="22"/>
      <c r="J239" s="22"/>
      <c r="K239" s="22"/>
      <c r="L239" s="23"/>
      <c r="M239" s="71"/>
      <c r="N239" s="71"/>
      <c r="O239" s="22"/>
      <c r="P239" s="22"/>
      <c r="Q239" s="22"/>
      <c r="R239" s="71"/>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row>
    <row r="240" spans="1:51" x14ac:dyDescent="0.3">
      <c r="A240" s="22"/>
      <c r="B240" s="71"/>
      <c r="C240" s="22"/>
      <c r="D240" s="23"/>
      <c r="E240" s="22"/>
      <c r="F240" s="22"/>
      <c r="G240" s="22"/>
      <c r="H240" s="23"/>
      <c r="I240" s="22"/>
      <c r="J240" s="22"/>
      <c r="K240" s="22"/>
      <c r="L240" s="23"/>
      <c r="M240" s="71"/>
      <c r="N240" s="71"/>
      <c r="O240" s="22"/>
      <c r="P240" s="22"/>
      <c r="Q240" s="22"/>
      <c r="R240" s="71"/>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row>
    <row r="241" spans="1:51" x14ac:dyDescent="0.3">
      <c r="A241" s="22"/>
      <c r="B241" s="71"/>
      <c r="C241" s="22"/>
      <c r="D241" s="23"/>
      <c r="E241" s="22"/>
      <c r="F241" s="22"/>
      <c r="G241" s="22"/>
      <c r="H241" s="23"/>
      <c r="I241" s="22"/>
      <c r="J241" s="22"/>
      <c r="K241" s="22"/>
      <c r="L241" s="23"/>
      <c r="M241" s="71"/>
      <c r="N241" s="71"/>
      <c r="O241" s="22"/>
      <c r="P241" s="22"/>
      <c r="Q241" s="22"/>
      <c r="R241" s="71"/>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row>
    <row r="242" spans="1:51" x14ac:dyDescent="0.3">
      <c r="A242" s="22"/>
      <c r="B242" s="71"/>
      <c r="C242" s="22"/>
      <c r="D242" s="23"/>
      <c r="E242" s="22"/>
      <c r="F242" s="22"/>
      <c r="G242" s="22"/>
      <c r="H242" s="23"/>
      <c r="I242" s="22"/>
      <c r="J242" s="22"/>
      <c r="K242" s="22"/>
      <c r="L242" s="23"/>
      <c r="M242" s="71"/>
      <c r="N242" s="71"/>
      <c r="O242" s="22"/>
      <c r="P242" s="22"/>
      <c r="Q242" s="22"/>
      <c r="R242" s="71"/>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row>
    <row r="243" spans="1:51" x14ac:dyDescent="0.3">
      <c r="A243" s="22"/>
      <c r="B243" s="71"/>
      <c r="C243" s="22"/>
      <c r="D243" s="23"/>
      <c r="E243" s="22"/>
      <c r="F243" s="22"/>
      <c r="G243" s="22"/>
      <c r="H243" s="23"/>
      <c r="I243" s="22"/>
      <c r="J243" s="22"/>
      <c r="K243" s="22"/>
      <c r="L243" s="23"/>
      <c r="M243" s="71"/>
      <c r="N243" s="71"/>
      <c r="O243" s="22"/>
      <c r="P243" s="22"/>
      <c r="Q243" s="22"/>
      <c r="R243" s="71"/>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row>
    <row r="244" spans="1:51" x14ac:dyDescent="0.3">
      <c r="A244" s="22"/>
      <c r="B244" s="71"/>
      <c r="C244" s="22"/>
      <c r="D244" s="23"/>
      <c r="E244" s="22"/>
      <c r="F244" s="22"/>
      <c r="G244" s="22"/>
      <c r="H244" s="23"/>
      <c r="I244" s="22"/>
      <c r="J244" s="22"/>
      <c r="K244" s="22"/>
      <c r="L244" s="23"/>
      <c r="M244" s="71"/>
      <c r="N244" s="71"/>
      <c r="O244" s="22"/>
      <c r="P244" s="22"/>
      <c r="Q244" s="22"/>
      <c r="R244" s="71"/>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row>
    <row r="245" spans="1:51" x14ac:dyDescent="0.3">
      <c r="A245" s="22"/>
      <c r="B245" s="71"/>
      <c r="C245" s="22"/>
      <c r="D245" s="23"/>
      <c r="E245" s="22"/>
      <c r="F245" s="22"/>
      <c r="G245" s="22"/>
      <c r="H245" s="23"/>
      <c r="I245" s="22"/>
      <c r="J245" s="22"/>
      <c r="K245" s="22"/>
      <c r="L245" s="23"/>
      <c r="M245" s="71"/>
      <c r="N245" s="71"/>
      <c r="O245" s="22"/>
      <c r="P245" s="22"/>
      <c r="Q245" s="22"/>
      <c r="R245" s="71"/>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row>
    <row r="246" spans="1:51" x14ac:dyDescent="0.3">
      <c r="A246" s="22"/>
      <c r="B246" s="71"/>
      <c r="C246" s="22"/>
      <c r="D246" s="23"/>
      <c r="E246" s="22"/>
      <c r="F246" s="22"/>
      <c r="G246" s="22"/>
      <c r="H246" s="23"/>
      <c r="I246" s="22"/>
      <c r="J246" s="22"/>
      <c r="K246" s="22"/>
      <c r="L246" s="23"/>
      <c r="M246" s="71"/>
      <c r="N246" s="71"/>
      <c r="O246" s="22"/>
      <c r="P246" s="22"/>
      <c r="Q246" s="22"/>
      <c r="R246" s="71"/>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row>
    <row r="247" spans="1:51" x14ac:dyDescent="0.3">
      <c r="A247" s="22"/>
      <c r="B247" s="71"/>
      <c r="C247" s="22"/>
      <c r="D247" s="23"/>
      <c r="E247" s="22"/>
      <c r="F247" s="22"/>
      <c r="G247" s="22"/>
      <c r="H247" s="23"/>
      <c r="I247" s="22"/>
      <c r="J247" s="22"/>
      <c r="K247" s="22"/>
      <c r="L247" s="23"/>
      <c r="M247" s="71"/>
      <c r="N247" s="71"/>
      <c r="O247" s="22"/>
      <c r="P247" s="22"/>
      <c r="Q247" s="22"/>
      <c r="R247" s="71"/>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row>
    <row r="248" spans="1:51" x14ac:dyDescent="0.3">
      <c r="A248" s="22"/>
      <c r="B248" s="71"/>
      <c r="C248" s="22"/>
      <c r="D248" s="23"/>
      <c r="E248" s="22"/>
      <c r="F248" s="22"/>
      <c r="G248" s="22"/>
      <c r="H248" s="23"/>
      <c r="I248" s="22"/>
      <c r="J248" s="22"/>
      <c r="K248" s="22"/>
      <c r="L248" s="23"/>
      <c r="M248" s="71"/>
      <c r="N248" s="71"/>
      <c r="O248" s="22"/>
      <c r="P248" s="22"/>
      <c r="Q248" s="22"/>
      <c r="R248" s="71"/>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row>
    <row r="249" spans="1:51" x14ac:dyDescent="0.3">
      <c r="A249" s="22"/>
      <c r="B249" s="71"/>
      <c r="C249" s="22"/>
      <c r="D249" s="23"/>
      <c r="E249" s="22"/>
      <c r="F249" s="22"/>
      <c r="G249" s="22"/>
      <c r="H249" s="23"/>
      <c r="I249" s="22"/>
      <c r="J249" s="22"/>
      <c r="K249" s="22"/>
      <c r="L249" s="23"/>
      <c r="M249" s="71"/>
      <c r="N249" s="71"/>
      <c r="O249" s="22"/>
      <c r="P249" s="22"/>
      <c r="Q249" s="22"/>
      <c r="R249" s="71"/>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row>
    <row r="250" spans="1:51" x14ac:dyDescent="0.3">
      <c r="A250" s="22"/>
      <c r="B250" s="71"/>
      <c r="C250" s="22"/>
      <c r="D250" s="23"/>
      <c r="E250" s="22"/>
      <c r="F250" s="22"/>
      <c r="G250" s="22"/>
      <c r="H250" s="23"/>
      <c r="I250" s="22"/>
      <c r="J250" s="22"/>
      <c r="K250" s="22"/>
      <c r="L250" s="23"/>
      <c r="M250" s="71"/>
      <c r="N250" s="71"/>
      <c r="O250" s="22"/>
      <c r="P250" s="22"/>
      <c r="Q250" s="22"/>
      <c r="R250" s="71"/>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row>
    <row r="251" spans="1:51" x14ac:dyDescent="0.3">
      <c r="A251" s="22"/>
      <c r="B251" s="71"/>
      <c r="C251" s="22"/>
      <c r="D251" s="23"/>
      <c r="E251" s="22"/>
      <c r="F251" s="22"/>
      <c r="G251" s="22"/>
      <c r="H251" s="23"/>
      <c r="I251" s="22"/>
      <c r="J251" s="22"/>
      <c r="K251" s="22"/>
      <c r="L251" s="23"/>
      <c r="M251" s="71"/>
      <c r="N251" s="71"/>
      <c r="O251" s="22"/>
      <c r="P251" s="22"/>
      <c r="Q251" s="22"/>
      <c r="R251" s="71"/>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row>
    <row r="252" spans="1:51" x14ac:dyDescent="0.3">
      <c r="A252" s="22"/>
      <c r="B252" s="71"/>
      <c r="C252" s="22"/>
      <c r="D252" s="23"/>
      <c r="E252" s="22"/>
      <c r="F252" s="22"/>
      <c r="G252" s="22"/>
      <c r="H252" s="23"/>
      <c r="I252" s="22"/>
      <c r="J252" s="22"/>
      <c r="K252" s="22"/>
      <c r="L252" s="23"/>
      <c r="M252" s="71"/>
      <c r="N252" s="71"/>
      <c r="O252" s="22"/>
      <c r="P252" s="22"/>
      <c r="Q252" s="22"/>
      <c r="R252" s="71"/>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row>
    <row r="253" spans="1:51" x14ac:dyDescent="0.3">
      <c r="A253" s="22"/>
      <c r="B253" s="71"/>
      <c r="C253" s="22"/>
      <c r="D253" s="23"/>
      <c r="E253" s="22"/>
      <c r="F253" s="22"/>
      <c r="G253" s="22"/>
      <c r="H253" s="23"/>
      <c r="I253" s="22"/>
      <c r="J253" s="22"/>
      <c r="K253" s="22"/>
      <c r="L253" s="23"/>
      <c r="M253" s="71"/>
      <c r="N253" s="71"/>
      <c r="O253" s="22"/>
      <c r="P253" s="22"/>
      <c r="Q253" s="22"/>
      <c r="R253" s="71"/>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row>
    <row r="254" spans="1:51" x14ac:dyDescent="0.3">
      <c r="A254" s="22"/>
      <c r="B254" s="71"/>
      <c r="C254" s="22"/>
      <c r="D254" s="23"/>
      <c r="E254" s="22"/>
      <c r="F254" s="22"/>
      <c r="G254" s="22"/>
      <c r="H254" s="23"/>
      <c r="I254" s="22"/>
      <c r="J254" s="22"/>
      <c r="K254" s="22"/>
      <c r="L254" s="23"/>
      <c r="M254" s="71"/>
      <c r="N254" s="71"/>
      <c r="O254" s="22"/>
      <c r="P254" s="22"/>
      <c r="Q254" s="22"/>
      <c r="R254" s="71"/>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row>
    <row r="255" spans="1:51" x14ac:dyDescent="0.3">
      <c r="A255" s="22"/>
      <c r="B255" s="71"/>
      <c r="C255" s="22"/>
      <c r="D255" s="23"/>
      <c r="E255" s="22"/>
      <c r="F255" s="22"/>
      <c r="G255" s="22"/>
      <c r="H255" s="23"/>
      <c r="I255" s="22"/>
      <c r="J255" s="22"/>
      <c r="K255" s="22"/>
      <c r="L255" s="23"/>
      <c r="M255" s="71"/>
      <c r="N255" s="71"/>
      <c r="O255" s="22"/>
      <c r="P255" s="22"/>
      <c r="Q255" s="22"/>
      <c r="R255" s="71"/>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row>
  </sheetData>
  <sheetProtection algorithmName="SHA-512" hashValue="+iHRo3enMCCcNQ9HeD7A2mAzCCqBjHVjgNRa8uCMihI7F66cH2fsVPYIFNcBAjArtMg6eIP19JtxjhP9/AZYhg==" saltValue="io7N5JZRSU0nvLTbh1VuwA==" spinCount="100000" sheet="1" objects="1" scenarios="1" selectLockedCells="1"/>
  <mergeCells count="73">
    <mergeCell ref="D51:F51"/>
    <mergeCell ref="G51:I51"/>
    <mergeCell ref="K51:L51"/>
    <mergeCell ref="C49:F49"/>
    <mergeCell ref="G49:I49"/>
    <mergeCell ref="K49:L49"/>
    <mergeCell ref="D50:F50"/>
    <mergeCell ref="G50:I50"/>
    <mergeCell ref="K50:L50"/>
    <mergeCell ref="A4:A6"/>
    <mergeCell ref="C18:F18"/>
    <mergeCell ref="G24:I24"/>
    <mergeCell ref="T18:W18"/>
    <mergeCell ref="X18:Y18"/>
    <mergeCell ref="K24:L24"/>
    <mergeCell ref="J10:L10"/>
    <mergeCell ref="C19:F19"/>
    <mergeCell ref="G20:I20"/>
    <mergeCell ref="K20:L20"/>
    <mergeCell ref="K23:L23"/>
    <mergeCell ref="K21:L21"/>
    <mergeCell ref="K22:L22"/>
    <mergeCell ref="O4:O7"/>
    <mergeCell ref="G21:I21"/>
    <mergeCell ref="G22:I22"/>
    <mergeCell ref="C41:F41"/>
    <mergeCell ref="C17:L17"/>
    <mergeCell ref="G41:I41"/>
    <mergeCell ref="G36:I36"/>
    <mergeCell ref="G34:I34"/>
    <mergeCell ref="G35:I35"/>
    <mergeCell ref="K36:L36"/>
    <mergeCell ref="K35:L35"/>
    <mergeCell ref="K34:L34"/>
    <mergeCell ref="K26:L26"/>
    <mergeCell ref="C34:F34"/>
    <mergeCell ref="C36:F36"/>
    <mergeCell ref="C38:L38"/>
    <mergeCell ref="G32:I32"/>
    <mergeCell ref="G30:I30"/>
    <mergeCell ref="C35:F35"/>
    <mergeCell ref="K32:L32"/>
    <mergeCell ref="J39:J40"/>
    <mergeCell ref="K37:L37"/>
    <mergeCell ref="D46:F46"/>
    <mergeCell ref="C39:F40"/>
    <mergeCell ref="K39:L40"/>
    <mergeCell ref="G40:I40"/>
    <mergeCell ref="G45:I45"/>
    <mergeCell ref="K45:L45"/>
    <mergeCell ref="C44:F44"/>
    <mergeCell ref="G46:I46"/>
    <mergeCell ref="K46:L46"/>
    <mergeCell ref="G44:I44"/>
    <mergeCell ref="K44:L44"/>
    <mergeCell ref="D45:F45"/>
    <mergeCell ref="K41:L41"/>
    <mergeCell ref="AG18:AH18"/>
    <mergeCell ref="K30:L30"/>
    <mergeCell ref="G26:I26"/>
    <mergeCell ref="G31:I31"/>
    <mergeCell ref="K31:L31"/>
    <mergeCell ref="K27:L27"/>
    <mergeCell ref="K28:L28"/>
    <mergeCell ref="G27:I27"/>
    <mergeCell ref="G28:I28"/>
    <mergeCell ref="G29:I29"/>
    <mergeCell ref="K29:L29"/>
    <mergeCell ref="G23:I23"/>
    <mergeCell ref="K18:L19"/>
    <mergeCell ref="J18:J19"/>
    <mergeCell ref="G18:I19"/>
    <mergeCell ref="AC18:AF18"/>
  </mergeCells>
  <conditionalFormatting sqref="C34:J36">
    <cfRule type="expression" dxfId="106" priority="1">
      <formula>AND(INDEX(Status_Systeme,$A$2)=TRUE,C34&lt;&gt;"")</formula>
    </cfRule>
    <cfRule type="expression" dxfId="105" priority="11">
      <formula>AND(INDEX(Status_Systeme,$A$2)=FALSE,C34="",$S34&gt;0,$S34&lt;3)</formula>
    </cfRule>
    <cfRule type="expression" dxfId="104" priority="90">
      <formula>AND(INDEX(Status_Systeme,$A$2)=FALSE,$S34=0)</formula>
    </cfRule>
  </conditionalFormatting>
  <conditionalFormatting sqref="C2:L6">
    <cfRule type="iconSet" priority="188">
      <iconSet iconSet="3Symbols" showValue="0">
        <cfvo type="percent" val="0"/>
        <cfvo type="num" val="1"/>
        <cfvo type="num" val="2"/>
      </iconSet>
    </cfRule>
  </conditionalFormatting>
  <conditionalFormatting sqref="C18:L51">
    <cfRule type="expression" dxfId="103" priority="181">
      <formula>INDEX(Status_Systeme,$A$2)=TRUE</formula>
    </cfRule>
  </conditionalFormatting>
  <conditionalFormatting sqref="C49:L51">
    <cfRule type="expression" dxfId="102" priority="9">
      <formula>EA_PV_Status=FALSE</formula>
    </cfRule>
  </conditionalFormatting>
  <conditionalFormatting sqref="G20:I32">
    <cfRule type="expression" dxfId="101" priority="15">
      <formula>AND(O20&lt;&gt;"",S20=FALSE)</formula>
    </cfRule>
    <cfRule type="expression" dxfId="100" priority="91">
      <formula>AND(INDEX(Status_Systeme,$A$2)=FALSE,G20="",S20=TRUE)</formula>
    </cfRule>
    <cfRule type="expression" dxfId="99" priority="191">
      <formula>AND(O20&lt;&gt;"",#REF!=FALSE)</formula>
    </cfRule>
    <cfRule type="expression" dxfId="98" priority="192">
      <formula>AND(INDEX(Status_Systeme,$A$2)=FALSE,G20="",#REF!=TRUE)</formula>
    </cfRule>
  </conditionalFormatting>
  <conditionalFormatting sqref="G20:I36 C34:F36 J34:J36">
    <cfRule type="expression" dxfId="97" priority="89">
      <formula>C20&lt;&gt;""</formula>
    </cfRule>
  </conditionalFormatting>
  <conditionalFormatting sqref="G45:I45">
    <cfRule type="expression" dxfId="96" priority="4">
      <formula>Basis_mod_HWB=TRUE</formula>
    </cfRule>
  </conditionalFormatting>
  <conditionalFormatting sqref="G46:I46">
    <cfRule type="expression" dxfId="95" priority="5">
      <formula>Basis_mod_WWWB=TRUE</formula>
    </cfRule>
  </conditionalFormatting>
  <conditionalFormatting sqref="J41">
    <cfRule type="expression" dxfId="94" priority="8">
      <formula>Basis_mod_Betrieb=TRUE</formula>
    </cfRule>
  </conditionalFormatting>
  <conditionalFormatting sqref="J45:J46">
    <cfRule type="expression" dxfId="93" priority="7">
      <formula>Basis_mod_Energiekosten=TRUE</formula>
    </cfRule>
  </conditionalFormatting>
  <conditionalFormatting sqref="J50:J51">
    <cfRule type="expression" dxfId="92" priority="6">
      <formula>Basis_mod_Energiekosten=TRUE</formula>
    </cfRule>
  </conditionalFormatting>
  <dataValidations count="3">
    <dataValidation operator="greaterThan" allowBlank="1" showInputMessage="1" showErrorMessage="1" sqref="J41" xr:uid="{00000000-0002-0000-0200-000000000000}"/>
    <dataValidation type="whole" operator="greaterThan" allowBlank="1" showInputMessage="1" showErrorMessage="1" errorTitle="Ungültige Eingabe" error="Bitte geben Sie einen Betrag größer als 0 an." sqref="G26:I32 G34:I36 G20:I24" xr:uid="{00000000-0002-0000-0200-000001000000}">
      <formula1>0</formula1>
    </dataValidation>
    <dataValidation type="whole" allowBlank="1" showInputMessage="1" showErrorMessage="1" sqref="A10" xr:uid="{00000000-0002-0000-0200-00000200000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200-000003000000}">
          <x14:formula1>
            <xm:f>Auswahl!$E$3</xm:f>
          </x14:formula1>
          <x14:formula2>
            <xm:f>Auswahl!$E$4</xm:f>
          </x14:formula2>
          <xm:sqref>J34:J36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tabColor rgb="FF2D4656"/>
  </sheetPr>
  <dimension ref="A1:B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74" customWidth="1"/>
    <col min="14" max="14" width="2.5703125" style="74" customWidth="1"/>
    <col min="15" max="15" width="26" style="20" customWidth="1"/>
    <col min="16" max="16" width="16.7109375" style="20" customWidth="1"/>
    <col min="17" max="17" width="30" style="20" customWidth="1"/>
    <col min="18" max="18" width="11.42578125" style="74"/>
    <col min="19" max="28" width="11.42578125" style="74" hidden="1" customWidth="1"/>
    <col min="29" max="35" width="11.42578125" style="20" hidden="1" customWidth="1"/>
    <col min="36" max="45" width="11.42578125" style="20"/>
    <col min="46" max="71" width="11.42578125" style="22"/>
    <col min="72" max="16384" width="11.42578125" style="20"/>
  </cols>
  <sheetData>
    <row r="1" spans="1:45" x14ac:dyDescent="0.3">
      <c r="A1" s="22"/>
      <c r="B1" s="71"/>
      <c r="C1" s="22"/>
      <c r="D1" s="23"/>
      <c r="E1" s="22"/>
      <c r="F1" s="22"/>
      <c r="G1" s="22"/>
      <c r="H1" s="23"/>
      <c r="I1" s="22"/>
      <c r="J1" s="22"/>
      <c r="K1" s="22"/>
      <c r="L1" s="23"/>
      <c r="M1" s="71"/>
      <c r="N1" s="71"/>
      <c r="O1" s="22"/>
      <c r="P1" s="22"/>
      <c r="Q1" s="22"/>
      <c r="R1" s="71"/>
      <c r="S1" s="71"/>
      <c r="T1" s="71"/>
      <c r="U1" s="71"/>
      <c r="V1" s="71"/>
      <c r="W1" s="71"/>
      <c r="X1" s="71"/>
      <c r="Y1" s="71"/>
      <c r="Z1" s="71"/>
      <c r="AA1" s="71"/>
      <c r="AB1" s="71"/>
      <c r="AC1" s="22"/>
      <c r="AD1" s="22"/>
      <c r="AE1" s="22"/>
      <c r="AF1" s="22"/>
      <c r="AG1" s="22"/>
      <c r="AH1" s="22"/>
      <c r="AI1" s="22"/>
      <c r="AJ1" s="22"/>
      <c r="AK1" s="22"/>
      <c r="AL1" s="22"/>
      <c r="AM1" s="22"/>
      <c r="AN1" s="22"/>
      <c r="AO1" s="22"/>
      <c r="AP1" s="22"/>
      <c r="AQ1" s="22"/>
      <c r="AR1" s="22"/>
      <c r="AS1" s="22"/>
    </row>
    <row r="2" spans="1:45" ht="18.75" customHeight="1" x14ac:dyDescent="0.3">
      <c r="A2" s="45">
        <v>2</v>
      </c>
      <c r="B2" s="77"/>
      <c r="C2" s="38" t="str">
        <f>" "&amp;INDEX(Auswahl!$G$2:$G$10,1+0)&amp;" | "&amp;INDEX(Auswahl!$H$2:$H$10,1+0)</f>
        <v xml:space="preserve"> A | Antragsformular</v>
      </c>
      <c r="D2" s="156">
        <f>IF(Auswahl!$I$2=TRUE,2,0)</f>
        <v>0</v>
      </c>
      <c r="E2" s="30"/>
      <c r="F2" s="39" t="str">
        <f>" "&amp;INDEX(Auswahl!$G$2:$G$10,1+3)&amp;" | "&amp;INDEX(Auswahl!$H$2:$H$10,1+3)</f>
        <v xml:space="preserve"> 2 | Pelletsanlage</v>
      </c>
      <c r="G2" s="61"/>
      <c r="H2" s="175">
        <f>IF(Auswahl!$I$5=TRUE,2,0)</f>
        <v>0</v>
      </c>
      <c r="I2" s="32"/>
      <c r="J2" s="38" t="str">
        <f>" "&amp;INDEX(Auswahl!$G$2:$G$10,1+6)&amp;" | "&amp;INDEX(Auswahl!$H$2:$H$10,1+6)</f>
        <v xml:space="preserve"> 5 | Wärmepumpe (Wasser)</v>
      </c>
      <c r="K2" s="44"/>
      <c r="L2" s="156">
        <f>IF(Auswahl!$I$8=TRUE,2,0)</f>
        <v>0</v>
      </c>
      <c r="M2" s="79"/>
      <c r="N2" s="79"/>
      <c r="O2" s="22"/>
      <c r="P2" s="22"/>
      <c r="Q2" s="22"/>
      <c r="R2" s="71"/>
      <c r="S2" s="71"/>
      <c r="T2" s="71"/>
      <c r="U2" s="71"/>
      <c r="V2" s="71"/>
      <c r="W2" s="71"/>
      <c r="X2" s="71"/>
      <c r="Y2" s="71"/>
      <c r="Z2" s="71"/>
      <c r="AA2" s="71"/>
      <c r="AB2" s="71"/>
      <c r="AC2" s="22"/>
      <c r="AD2" s="22"/>
      <c r="AE2" s="22"/>
      <c r="AF2" s="22"/>
      <c r="AG2" s="22"/>
      <c r="AH2" s="22"/>
      <c r="AI2" s="22"/>
      <c r="AJ2" s="22"/>
      <c r="AK2" s="22"/>
      <c r="AL2" s="22"/>
      <c r="AM2" s="22"/>
      <c r="AN2" s="22"/>
      <c r="AO2" s="22"/>
      <c r="AP2" s="22"/>
      <c r="AQ2" s="22"/>
      <c r="AR2" s="22"/>
      <c r="AS2" s="22"/>
    </row>
    <row r="3" spans="1:45" ht="3.75" customHeight="1" x14ac:dyDescent="0.3">
      <c r="A3" s="36"/>
      <c r="B3" s="77"/>
      <c r="C3" s="33"/>
      <c r="D3" s="27"/>
      <c r="E3" s="30"/>
      <c r="F3" s="34"/>
      <c r="G3" s="34"/>
      <c r="H3" s="153"/>
      <c r="I3" s="32"/>
      <c r="J3" s="33"/>
      <c r="K3" s="33"/>
      <c r="L3" s="153"/>
      <c r="M3" s="79"/>
      <c r="N3" s="79"/>
      <c r="O3" s="22"/>
      <c r="P3" s="22"/>
      <c r="Q3" s="22"/>
      <c r="R3" s="71"/>
      <c r="S3" s="71"/>
      <c r="T3" s="71"/>
      <c r="U3" s="71"/>
      <c r="V3" s="71"/>
      <c r="W3" s="71"/>
      <c r="X3" s="71"/>
      <c r="Y3" s="71"/>
      <c r="Z3" s="71"/>
      <c r="AA3" s="71"/>
      <c r="AB3" s="71"/>
      <c r="AC3" s="22"/>
      <c r="AD3" s="22"/>
      <c r="AE3" s="22"/>
      <c r="AF3" s="22"/>
      <c r="AG3" s="22"/>
      <c r="AH3" s="22"/>
      <c r="AI3" s="22"/>
      <c r="AJ3" s="22"/>
      <c r="AK3" s="22"/>
      <c r="AL3" s="22"/>
      <c r="AM3" s="22"/>
      <c r="AN3" s="22"/>
      <c r="AO3" s="22"/>
      <c r="AP3" s="22"/>
      <c r="AQ3" s="22"/>
      <c r="AR3" s="22"/>
      <c r="AS3" s="22"/>
    </row>
    <row r="4" spans="1:45" ht="18.75" customHeight="1" x14ac:dyDescent="0.3">
      <c r="A4" s="334" t="s">
        <v>78</v>
      </c>
      <c r="B4" s="77"/>
      <c r="C4" s="38" t="str">
        <f>" "&amp;INDEX(Auswahl!$G$2:$G$10,1+1)&amp;" | "&amp;INDEX(Auswahl!$H$2:$H$10,1+1)</f>
        <v xml:space="preserve"> 0 | Basisangaben</v>
      </c>
      <c r="D4" s="156">
        <f>IF(Auswahl!$I$3=TRUE,2,0)</f>
        <v>0</v>
      </c>
      <c r="E4" s="30"/>
      <c r="F4" s="38" t="str">
        <f>" "&amp;INDEX(Auswahl!$G$2:$G$10,1+4)&amp;" | "&amp;INDEX(Auswahl!$H$2:$H$10,1+4)</f>
        <v xml:space="preserve"> 3 | Nah- /Fernwärme (ern.)</v>
      </c>
      <c r="G4" s="44"/>
      <c r="H4" s="40">
        <f>IF(Auswahl!$I$6=TRUE,2,0)</f>
        <v>0</v>
      </c>
      <c r="I4" s="32"/>
      <c r="J4" s="38" t="str">
        <f>" "&amp;INDEX(Auswahl!$G$2:$G$10,1+7)&amp;" | "&amp;INDEX(Auswahl!$H$2:$H$10,1+7)</f>
        <v xml:space="preserve"> 6 | Wärmepumpe (Sole)</v>
      </c>
      <c r="K4" s="44"/>
      <c r="L4" s="156">
        <f>IF(Auswahl!$I$9=TRUE,2,0)</f>
        <v>0</v>
      </c>
      <c r="M4" s="80"/>
      <c r="N4" s="80"/>
      <c r="O4" s="335"/>
      <c r="P4" s="22"/>
      <c r="Q4" s="22"/>
      <c r="R4" s="71"/>
      <c r="S4" s="71"/>
      <c r="T4" s="71"/>
      <c r="U4" s="71"/>
      <c r="V4" s="71"/>
      <c r="W4" s="71"/>
      <c r="X4" s="71"/>
      <c r="Y4" s="71"/>
      <c r="Z4" s="71"/>
      <c r="AA4" s="71"/>
      <c r="AB4" s="71"/>
      <c r="AC4" s="22"/>
      <c r="AD4" s="22"/>
      <c r="AE4" s="22"/>
      <c r="AF4" s="22"/>
      <c r="AG4" s="22"/>
      <c r="AH4" s="22"/>
      <c r="AI4" s="22"/>
      <c r="AJ4" s="22"/>
      <c r="AK4" s="22"/>
      <c r="AL4" s="22"/>
      <c r="AM4" s="22"/>
      <c r="AN4" s="22"/>
      <c r="AO4" s="22"/>
      <c r="AP4" s="22"/>
      <c r="AQ4" s="22"/>
      <c r="AR4" s="22"/>
      <c r="AS4" s="22"/>
    </row>
    <row r="5" spans="1:45" ht="3.75" customHeight="1" x14ac:dyDescent="0.3">
      <c r="A5" s="334"/>
      <c r="B5" s="77"/>
      <c r="C5" s="33"/>
      <c r="D5" s="153"/>
      <c r="E5" s="30"/>
      <c r="F5" s="34"/>
      <c r="G5" s="34"/>
      <c r="H5" s="153"/>
      <c r="I5" s="32"/>
      <c r="J5" s="33"/>
      <c r="K5" s="33"/>
      <c r="L5" s="153"/>
      <c r="M5" s="80"/>
      <c r="N5" s="80"/>
      <c r="O5" s="335"/>
      <c r="P5" s="22"/>
      <c r="Q5" s="22"/>
      <c r="R5" s="71"/>
      <c r="S5" s="71"/>
      <c r="T5" s="71"/>
      <c r="U5" s="71"/>
      <c r="V5" s="71"/>
      <c r="W5" s="71"/>
      <c r="X5" s="71"/>
      <c r="Y5" s="71"/>
      <c r="Z5" s="71"/>
      <c r="AA5" s="71"/>
      <c r="AB5" s="71"/>
      <c r="AC5" s="22"/>
      <c r="AD5" s="22"/>
      <c r="AE5" s="22"/>
      <c r="AF5" s="22"/>
      <c r="AG5" s="22"/>
      <c r="AH5" s="22"/>
      <c r="AI5" s="22"/>
      <c r="AJ5" s="22"/>
      <c r="AK5" s="22"/>
      <c r="AL5" s="22"/>
      <c r="AM5" s="22"/>
      <c r="AN5" s="22"/>
      <c r="AO5" s="22"/>
      <c r="AP5" s="22"/>
      <c r="AQ5" s="22"/>
      <c r="AR5" s="22"/>
      <c r="AS5" s="22"/>
    </row>
    <row r="6" spans="1:45" ht="18.75" customHeight="1" x14ac:dyDescent="0.3">
      <c r="A6" s="334"/>
      <c r="B6" s="77"/>
      <c r="C6" s="38" t="str">
        <f>" "&amp;INDEX(Auswahl!$G$2:$G$10,1+2)&amp;" | "&amp;INDEX(Auswahl!$H$2:$H$10,1+2)</f>
        <v xml:space="preserve"> 1 | Bitte wählen…</v>
      </c>
      <c r="D6" s="156">
        <f>IF(Auswahl!$I$4=TRUE,2,0)</f>
        <v>0</v>
      </c>
      <c r="E6" s="30"/>
      <c r="F6" s="38" t="str">
        <f>" "&amp;INDEX(Auswahl!$G$2:$G$10,1+5)&amp;" | "&amp;INDEX(Auswahl!$H$2:$H$10,1+5)</f>
        <v xml:space="preserve"> 4 | Wärmepumpe (Luft)</v>
      </c>
      <c r="G6" s="179"/>
      <c r="H6" s="156">
        <f>IF(Auswahl!$I$7=TRUE,2,0)</f>
        <v>0</v>
      </c>
      <c r="I6" s="32"/>
      <c r="J6" s="38" t="str">
        <f>" "&amp;INDEX(Auswahl!$G$2:$G$10,1+8)&amp;" | "&amp;INDEX(Auswahl!$H$2:$H$10,1+8)</f>
        <v xml:space="preserve"> 7 | Rahmenbedingungen</v>
      </c>
      <c r="K6" s="44"/>
      <c r="L6" s="156">
        <f>IF(Auswahl!$I$10=TRUE,2,0)</f>
        <v>0</v>
      </c>
      <c r="M6" s="80"/>
      <c r="N6" s="80"/>
      <c r="O6" s="335"/>
      <c r="P6" s="22"/>
      <c r="Q6" s="22"/>
      <c r="R6" s="71"/>
      <c r="S6" s="71"/>
      <c r="T6" s="71"/>
      <c r="U6" s="71"/>
      <c r="V6" s="71"/>
      <c r="W6" s="71"/>
      <c r="X6" s="71"/>
      <c r="Y6" s="71"/>
      <c r="Z6" s="71"/>
      <c r="AA6" s="71"/>
      <c r="AB6" s="71"/>
      <c r="AC6" s="22"/>
      <c r="AD6" s="22"/>
      <c r="AE6" s="22"/>
      <c r="AF6" s="22"/>
      <c r="AG6" s="22"/>
      <c r="AH6" s="22"/>
      <c r="AI6" s="22"/>
      <c r="AJ6" s="22"/>
      <c r="AK6" s="22"/>
      <c r="AL6" s="22"/>
      <c r="AM6" s="22"/>
      <c r="AN6" s="22"/>
      <c r="AO6" s="22"/>
      <c r="AP6" s="22"/>
      <c r="AQ6" s="22"/>
      <c r="AR6" s="22"/>
      <c r="AS6" s="22"/>
    </row>
    <row r="7" spans="1:45" ht="6.75" customHeight="1" x14ac:dyDescent="0.3">
      <c r="A7" s="22"/>
      <c r="B7" s="71"/>
      <c r="C7" s="29"/>
      <c r="D7" s="153"/>
      <c r="E7" s="24"/>
      <c r="F7" s="29"/>
      <c r="G7" s="29"/>
      <c r="H7" s="153"/>
      <c r="I7" s="25"/>
      <c r="J7" s="29"/>
      <c r="K7" s="29"/>
      <c r="L7" s="153"/>
      <c r="M7" s="80"/>
      <c r="N7" s="80"/>
      <c r="O7" s="335"/>
      <c r="P7" s="22"/>
      <c r="Q7" s="22"/>
      <c r="R7" s="71"/>
      <c r="S7" s="71"/>
      <c r="T7" s="71"/>
      <c r="U7" s="71"/>
      <c r="V7" s="71"/>
      <c r="W7" s="71"/>
      <c r="X7" s="71"/>
      <c r="Y7" s="71"/>
      <c r="Z7" s="71"/>
      <c r="AA7" s="71"/>
      <c r="AB7" s="71"/>
      <c r="AC7" s="22"/>
      <c r="AD7" s="22"/>
      <c r="AE7" s="22"/>
      <c r="AF7" s="22"/>
      <c r="AG7" s="22"/>
      <c r="AH7" s="22"/>
      <c r="AI7" s="22"/>
      <c r="AJ7" s="22"/>
      <c r="AK7" s="22"/>
      <c r="AL7" s="22"/>
      <c r="AM7" s="22"/>
      <c r="AN7" s="22"/>
      <c r="AO7" s="22"/>
      <c r="AP7" s="22"/>
      <c r="AQ7" s="22"/>
      <c r="AR7" s="22"/>
      <c r="AS7" s="22"/>
    </row>
    <row r="8" spans="1:45" ht="12.75" customHeight="1" x14ac:dyDescent="0.3">
      <c r="A8" s="22"/>
      <c r="B8" s="78"/>
      <c r="C8" s="35"/>
      <c r="D8" s="31"/>
      <c r="E8" s="24"/>
      <c r="F8" s="24"/>
      <c r="G8" s="24"/>
      <c r="H8" s="31"/>
      <c r="I8" s="24"/>
      <c r="J8" s="24"/>
      <c r="K8" s="24"/>
      <c r="L8" s="31"/>
      <c r="M8" s="78"/>
      <c r="N8" s="78"/>
      <c r="O8" s="22"/>
      <c r="P8" s="22"/>
      <c r="Q8" s="22"/>
      <c r="R8" s="71"/>
      <c r="S8" s="71"/>
      <c r="T8" s="71"/>
      <c r="U8" s="71"/>
      <c r="V8" s="71"/>
      <c r="W8" s="71"/>
      <c r="X8" s="71"/>
      <c r="Y8" s="71"/>
      <c r="Z8" s="71"/>
      <c r="AA8" s="71"/>
      <c r="AB8" s="71"/>
      <c r="AC8" s="22"/>
      <c r="AD8" s="22"/>
      <c r="AE8" s="22"/>
      <c r="AF8" s="22"/>
      <c r="AG8" s="22"/>
      <c r="AH8" s="22"/>
      <c r="AI8" s="22"/>
      <c r="AJ8" s="22"/>
      <c r="AK8" s="22"/>
      <c r="AL8" s="22"/>
      <c r="AM8" s="22"/>
      <c r="AN8" s="22"/>
      <c r="AO8" s="22"/>
      <c r="AP8" s="22"/>
      <c r="AQ8" s="22"/>
      <c r="AR8" s="22"/>
      <c r="AS8" s="22"/>
    </row>
    <row r="9" spans="1:45" ht="3.75" customHeight="1" x14ac:dyDescent="0.3">
      <c r="A9" s="22"/>
      <c r="N9" s="71"/>
      <c r="O9" s="22"/>
      <c r="P9" s="22"/>
      <c r="Q9" s="22"/>
      <c r="R9" s="71"/>
      <c r="S9" s="71"/>
      <c r="T9" s="71"/>
      <c r="U9" s="71"/>
      <c r="V9" s="71"/>
      <c r="W9" s="71"/>
      <c r="X9" s="71"/>
      <c r="Y9" s="71"/>
      <c r="Z9" s="71"/>
      <c r="AA9" s="71"/>
      <c r="AB9" s="71"/>
      <c r="AC9" s="22"/>
      <c r="AD9" s="22"/>
      <c r="AE9" s="22"/>
      <c r="AF9" s="22"/>
      <c r="AG9" s="22"/>
      <c r="AH9" s="22"/>
      <c r="AI9" s="22"/>
      <c r="AJ9" s="22"/>
      <c r="AK9" s="22"/>
      <c r="AL9" s="22"/>
      <c r="AM9" s="22"/>
      <c r="AN9" s="22"/>
      <c r="AO9" s="22"/>
      <c r="AP9" s="22"/>
      <c r="AQ9" s="22"/>
      <c r="AR9" s="22"/>
      <c r="AS9" s="22"/>
    </row>
    <row r="10" spans="1:45" ht="20.25" x14ac:dyDescent="0.3">
      <c r="A10" s="277"/>
      <c r="C10" s="46" t="str">
        <f>$A$2&amp;". SYSTEM: "&amp;UPPER(VLOOKUP($A$2,Navigation,2,FALSE))</f>
        <v>2. SYSTEM: PELLETSANLAGE</v>
      </c>
      <c r="D10" s="47"/>
      <c r="E10" s="48"/>
      <c r="F10" s="48"/>
      <c r="G10" s="48"/>
      <c r="H10" s="48"/>
      <c r="I10" s="48"/>
      <c r="J10" s="400" t="str">
        <f>IF(Auswahl!$I$5=TRUE,"",UPPER("unvollständig"))</f>
        <v>UNVOLLSTÄNDIG</v>
      </c>
      <c r="K10" s="400"/>
      <c r="L10" s="400"/>
      <c r="M10" s="76"/>
      <c r="N10" s="78"/>
      <c r="O10" s="24"/>
      <c r="P10" s="22"/>
      <c r="Q10" s="22"/>
      <c r="R10" s="71"/>
      <c r="S10" s="71"/>
      <c r="T10" s="71"/>
      <c r="U10" s="101"/>
      <c r="V10" s="71"/>
      <c r="W10" s="71"/>
      <c r="X10" s="102"/>
      <c r="Y10" s="71"/>
      <c r="Z10" s="71"/>
      <c r="AA10" s="71"/>
      <c r="AB10" s="71"/>
      <c r="AC10" s="22"/>
      <c r="AD10" s="22"/>
      <c r="AE10" s="22"/>
      <c r="AF10" s="22"/>
      <c r="AG10" s="22"/>
      <c r="AH10" s="22"/>
      <c r="AI10" s="22"/>
      <c r="AJ10" s="22"/>
      <c r="AK10" s="22"/>
      <c r="AL10" s="22"/>
      <c r="AM10" s="22"/>
      <c r="AN10" s="22"/>
      <c r="AO10" s="22"/>
      <c r="AP10" s="22"/>
      <c r="AQ10" s="22"/>
      <c r="AR10" s="22"/>
      <c r="AS10" s="22"/>
    </row>
    <row r="11" spans="1:45" x14ac:dyDescent="0.3">
      <c r="A11" s="22"/>
      <c r="C11" s="48"/>
      <c r="D11" s="48"/>
      <c r="E11" s="48"/>
      <c r="F11" s="48"/>
      <c r="G11" s="48"/>
      <c r="H11" s="48"/>
      <c r="I11" s="48"/>
      <c r="J11" s="48"/>
      <c r="K11" s="48"/>
      <c r="L11" s="49"/>
      <c r="M11" s="76"/>
      <c r="N11" s="78"/>
      <c r="O11" s="24"/>
      <c r="P11" s="22"/>
      <c r="Q11" s="22"/>
      <c r="R11" s="71"/>
      <c r="S11" s="71"/>
      <c r="T11" s="71"/>
      <c r="U11" s="101"/>
      <c r="V11" s="71"/>
      <c r="W11" s="71"/>
      <c r="X11" s="71"/>
      <c r="Y11" s="71"/>
      <c r="Z11" s="71"/>
      <c r="AA11" s="71"/>
      <c r="AB11" s="71"/>
      <c r="AC11" s="22"/>
      <c r="AD11" s="22"/>
      <c r="AE11" s="22"/>
      <c r="AF11" s="22"/>
      <c r="AG11" s="22"/>
      <c r="AH11" s="22"/>
      <c r="AI11" s="22"/>
      <c r="AJ11" s="22"/>
      <c r="AK11" s="22"/>
      <c r="AL11" s="22"/>
      <c r="AM11" s="22"/>
      <c r="AN11" s="22"/>
      <c r="AO11" s="22"/>
      <c r="AP11" s="22"/>
      <c r="AQ11" s="22"/>
      <c r="AR11" s="22"/>
      <c r="AS11" s="22"/>
    </row>
    <row r="12" spans="1:45" x14ac:dyDescent="0.3">
      <c r="A12" s="190"/>
      <c r="C12" s="47" t="str">
        <f>$A$2&amp;".1 "&amp;UPPER(INDEX(Auswahl!$P$2:$P$6,1))</f>
        <v>2.1 AUSSCHLUSSGRÜNDE</v>
      </c>
      <c r="D12" s="47"/>
      <c r="E12" s="48"/>
      <c r="F12" s="48"/>
      <c r="G12" s="48"/>
      <c r="H12" s="48"/>
      <c r="I12" s="48"/>
      <c r="J12" s="48"/>
      <c r="K12" s="48"/>
      <c r="L12" s="48"/>
      <c r="M12" s="66"/>
      <c r="N12" s="189"/>
      <c r="O12" s="24"/>
      <c r="P12" s="22"/>
      <c r="Q12" s="22"/>
      <c r="R12" s="71"/>
      <c r="S12" s="71"/>
      <c r="T12" s="71"/>
      <c r="U12" s="101"/>
      <c r="V12" s="71"/>
      <c r="W12" s="71"/>
      <c r="X12" s="71"/>
      <c r="Y12" s="71"/>
      <c r="Z12" s="71"/>
      <c r="AA12" s="71"/>
      <c r="AB12" s="71"/>
      <c r="AC12" s="22"/>
      <c r="AD12" s="22"/>
      <c r="AE12" s="22"/>
      <c r="AF12" s="22"/>
      <c r="AG12" s="22"/>
      <c r="AH12" s="22"/>
      <c r="AI12" s="22"/>
      <c r="AJ12" s="22"/>
      <c r="AK12" s="22"/>
      <c r="AL12" s="22"/>
      <c r="AM12" s="22"/>
      <c r="AN12" s="22"/>
      <c r="AO12" s="22"/>
      <c r="AP12" s="22"/>
      <c r="AQ12" s="22"/>
      <c r="AR12" s="22"/>
      <c r="AS12" s="22"/>
    </row>
    <row r="13" spans="1:45" ht="7.5" customHeight="1" x14ac:dyDescent="0.3">
      <c r="A13" s="190"/>
      <c r="C13" s="48"/>
      <c r="D13" s="48"/>
      <c r="E13" s="48"/>
      <c r="F13" s="48"/>
      <c r="G13" s="48"/>
      <c r="H13" s="48"/>
      <c r="I13" s="48"/>
      <c r="J13" s="48"/>
      <c r="K13" s="48"/>
      <c r="L13" s="49"/>
      <c r="M13" s="76"/>
      <c r="N13" s="78"/>
      <c r="O13" s="24"/>
      <c r="P13" s="22"/>
      <c r="Q13" s="22"/>
      <c r="R13" s="71"/>
      <c r="S13" s="71"/>
      <c r="T13" s="71"/>
      <c r="U13" s="71"/>
      <c r="V13" s="71"/>
      <c r="W13" s="71"/>
      <c r="X13" s="71"/>
      <c r="Y13" s="71"/>
      <c r="Z13" s="71"/>
      <c r="AA13" s="71"/>
      <c r="AB13" s="71"/>
      <c r="AC13" s="22"/>
      <c r="AD13" s="22"/>
      <c r="AE13" s="22"/>
      <c r="AF13" s="22"/>
      <c r="AG13" s="22"/>
      <c r="AH13" s="22"/>
      <c r="AI13" s="22"/>
      <c r="AJ13" s="22"/>
      <c r="AK13" s="22"/>
      <c r="AL13" s="22"/>
      <c r="AM13" s="22"/>
      <c r="AN13" s="22"/>
      <c r="AO13" s="22"/>
      <c r="AP13" s="22"/>
      <c r="AQ13" s="22"/>
      <c r="AR13" s="22"/>
      <c r="AS13" s="22"/>
    </row>
    <row r="14" spans="1:45" x14ac:dyDescent="0.3">
      <c r="A14" s="190"/>
      <c r="C14" s="51" t="s">
        <v>312</v>
      </c>
      <c r="D14" s="48"/>
      <c r="E14" s="48"/>
      <c r="F14" s="48"/>
      <c r="G14" s="48"/>
      <c r="H14" s="48"/>
      <c r="I14" s="48"/>
      <c r="J14" s="48"/>
      <c r="K14" s="48"/>
      <c r="L14" s="49"/>
      <c r="M14" s="76"/>
      <c r="N14" s="78"/>
      <c r="O14" s="30"/>
      <c r="P14" s="22"/>
      <c r="Q14" s="22"/>
      <c r="R14" s="71"/>
      <c r="S14" s="71"/>
      <c r="T14" s="71"/>
      <c r="U14" s="71"/>
      <c r="V14" s="71"/>
      <c r="W14" s="71"/>
      <c r="X14" s="71"/>
      <c r="Y14" s="71"/>
      <c r="Z14" s="71"/>
      <c r="AA14" s="71"/>
      <c r="AB14" s="71"/>
      <c r="AC14" s="22"/>
      <c r="AD14" s="22"/>
      <c r="AE14" s="22"/>
      <c r="AF14" s="22"/>
      <c r="AG14" s="22"/>
      <c r="AH14" s="22"/>
      <c r="AI14" s="22"/>
      <c r="AJ14" s="22"/>
      <c r="AK14" s="22"/>
      <c r="AL14" s="22"/>
      <c r="AM14" s="22"/>
      <c r="AN14" s="22"/>
      <c r="AO14" s="22"/>
      <c r="AP14" s="22"/>
      <c r="AQ14" s="22"/>
      <c r="AR14" s="22"/>
      <c r="AS14" s="22"/>
    </row>
    <row r="15" spans="1:45" x14ac:dyDescent="0.3">
      <c r="A15" s="190"/>
      <c r="C15" s="51" t="s">
        <v>313</v>
      </c>
      <c r="D15" s="48"/>
      <c r="E15" s="48"/>
      <c r="F15" s="48"/>
      <c r="G15" s="48"/>
      <c r="H15" s="48"/>
      <c r="I15" s="48"/>
      <c r="J15" s="48"/>
      <c r="K15" s="48"/>
      <c r="L15" s="49"/>
      <c r="M15" s="76"/>
      <c r="N15" s="78"/>
      <c r="O15" s="30"/>
      <c r="P15" s="22"/>
      <c r="Q15" s="187"/>
      <c r="R15" s="71"/>
      <c r="S15" s="71"/>
      <c r="T15" s="71"/>
      <c r="U15" s="71"/>
      <c r="V15" s="71"/>
      <c r="W15" s="71"/>
      <c r="X15" s="71"/>
      <c r="Y15" s="71"/>
      <c r="Z15" s="71"/>
      <c r="AA15" s="71"/>
      <c r="AB15" s="71"/>
      <c r="AC15" s="22"/>
      <c r="AD15" s="22"/>
      <c r="AE15" s="22"/>
      <c r="AF15" s="22"/>
      <c r="AG15" s="22"/>
      <c r="AH15" s="22"/>
      <c r="AI15" s="22"/>
      <c r="AJ15" s="22"/>
      <c r="AK15" s="22"/>
      <c r="AL15" s="22"/>
      <c r="AM15" s="22"/>
      <c r="AN15" s="22"/>
      <c r="AO15" s="22"/>
      <c r="AP15" s="22"/>
      <c r="AQ15" s="22"/>
      <c r="AR15" s="22"/>
      <c r="AS15" s="22"/>
    </row>
    <row r="16" spans="1:45" ht="7.5" customHeight="1" x14ac:dyDescent="0.3">
      <c r="A16" s="190"/>
      <c r="C16" s="48"/>
      <c r="D16" s="48"/>
      <c r="E16" s="48"/>
      <c r="F16" s="48"/>
      <c r="G16" s="48"/>
      <c r="H16" s="48"/>
      <c r="I16" s="48"/>
      <c r="J16" s="48"/>
      <c r="K16" s="48"/>
      <c r="L16" s="49"/>
      <c r="M16" s="76"/>
      <c r="N16" s="78"/>
      <c r="O16" s="30"/>
      <c r="P16" s="22"/>
      <c r="Q16" s="22"/>
      <c r="R16" s="71"/>
      <c r="S16" s="71"/>
      <c r="T16" s="71"/>
      <c r="U16" s="71"/>
      <c r="V16" s="71"/>
      <c r="W16" s="71"/>
      <c r="X16" s="71"/>
      <c r="Y16" s="71"/>
      <c r="Z16" s="71"/>
      <c r="AA16" s="71"/>
      <c r="AB16" s="71"/>
      <c r="AC16" s="22"/>
      <c r="AD16" s="22"/>
      <c r="AE16" s="22"/>
      <c r="AF16" s="22"/>
      <c r="AG16" s="22"/>
      <c r="AH16" s="22"/>
      <c r="AI16" s="22"/>
      <c r="AJ16" s="22"/>
      <c r="AK16" s="22"/>
      <c r="AL16" s="22"/>
      <c r="AM16" s="22"/>
      <c r="AN16" s="22"/>
      <c r="AO16" s="22"/>
      <c r="AP16" s="22"/>
      <c r="AQ16" s="22"/>
      <c r="AR16" s="22"/>
      <c r="AS16" s="22"/>
    </row>
    <row r="17" spans="1:45" ht="42.75" customHeight="1" x14ac:dyDescent="0.3">
      <c r="A17" s="190"/>
      <c r="C17" s="393" t="str">
        <f>IF(A2=1,TBS_Systeme_4,TBS_Systeme_1&amp;VLOOKUP($A$2,Navigation,2,FALSE)&amp;IF(AND(VLOOKUP($A$2,Navigation,4,FALSE)=FALSE,VLOOKUP($A$2,Navigation,5,FALSE)=FALSE),TBS_Systeme_2,TBS_Systeme_3))</f>
        <v>Die Verwendung einer Pelletsanlage ist technisch und rechtlich möglich. Bitte mit der Wirtschaftlichkeitsberechnung fortfahren.</v>
      </c>
      <c r="D17" s="393"/>
      <c r="E17" s="393"/>
      <c r="F17" s="393"/>
      <c r="G17" s="393"/>
      <c r="H17" s="393"/>
      <c r="I17" s="393"/>
      <c r="J17" s="393"/>
      <c r="K17" s="393"/>
      <c r="L17" s="393"/>
      <c r="M17" s="76"/>
      <c r="N17" s="78"/>
      <c r="O17" s="267"/>
      <c r="P17" s="54"/>
      <c r="Q17" s="54"/>
      <c r="R17" s="71"/>
      <c r="S17" s="71"/>
      <c r="T17" s="71"/>
      <c r="U17" s="71"/>
      <c r="V17" s="71"/>
      <c r="W17" s="71"/>
      <c r="X17" s="71"/>
      <c r="Y17" s="71"/>
      <c r="Z17" s="71"/>
      <c r="AA17" s="71"/>
      <c r="AB17" s="71"/>
      <c r="AC17" s="22"/>
      <c r="AD17" s="22"/>
      <c r="AE17" s="22"/>
      <c r="AF17" s="22"/>
      <c r="AG17" s="22"/>
      <c r="AH17" s="22"/>
      <c r="AI17" s="22"/>
      <c r="AJ17" s="22"/>
      <c r="AK17" s="22"/>
      <c r="AL17" s="22"/>
      <c r="AM17" s="22"/>
      <c r="AN17" s="22"/>
      <c r="AO17" s="22"/>
      <c r="AP17" s="22"/>
      <c r="AQ17" s="22"/>
      <c r="AR17" s="22"/>
      <c r="AS17" s="22"/>
    </row>
    <row r="18" spans="1:45" ht="16.5" customHeight="1" x14ac:dyDescent="0.3">
      <c r="A18" s="22"/>
      <c r="B18" s="75"/>
      <c r="C18" s="425" t="str">
        <f>IF(INDEX(Status_Systeme,$A$2)=TRUE,"",$A$2&amp;".2 "&amp;UPPER(INDEX(Auswahl!$P$2:$P$6,2)))</f>
        <v>2.2 INVESTITIONSKOSTEN</v>
      </c>
      <c r="D18" s="425"/>
      <c r="E18" s="425"/>
      <c r="F18" s="425"/>
      <c r="G18" s="410" t="str">
        <f>IF(INDEX(Status_Systeme,$A$2)=TRUE,"","Invest-Kosten¹"&amp;CHAR(10)&amp;"[€]")</f>
        <v>Invest-Kosten¹
[€]</v>
      </c>
      <c r="H18" s="410"/>
      <c r="I18" s="410"/>
      <c r="J18" s="410" t="str">
        <f>IF(INDEX(Status_Systeme,$A$2)=TRUE,"","Nutzung"&amp;CHAR(10)&amp;"t [a]")</f>
        <v>Nutzung
t [a]</v>
      </c>
      <c r="K18" s="408" t="str">
        <f>IF(INDEX(Status_Systeme,$A$2)=TRUE,"","Gesamtkosten"&amp;CHAR(2)&amp;CHAR(10)&amp;"nach "&amp;Basis_Betrachtungszeitraum&amp;"a [€]"&amp;CHAR(2))</f>
        <v>Gesamtkosten_x0002_
nach 20a [€]_x0002_</v>
      </c>
      <c r="L18" s="408"/>
      <c r="M18" s="76"/>
      <c r="N18" s="78"/>
      <c r="O18" s="266"/>
      <c r="P18" s="22"/>
      <c r="Q18" s="22"/>
      <c r="R18" s="71"/>
      <c r="S18" s="70" t="s">
        <v>211</v>
      </c>
      <c r="T18" s="404" t="s">
        <v>4</v>
      </c>
      <c r="U18" s="404"/>
      <c r="V18" s="404"/>
      <c r="W18" s="404"/>
      <c r="X18" s="404" t="s">
        <v>2</v>
      </c>
      <c r="Y18" s="404"/>
      <c r="Z18" s="70" t="s">
        <v>355</v>
      </c>
      <c r="AA18" s="71"/>
      <c r="AB18" s="71"/>
      <c r="AC18" s="22"/>
      <c r="AD18" s="22"/>
      <c r="AE18" s="22"/>
      <c r="AF18" s="22"/>
      <c r="AG18" s="22"/>
      <c r="AH18" s="22"/>
      <c r="AI18" s="22"/>
      <c r="AJ18" s="22"/>
      <c r="AK18" s="22"/>
      <c r="AL18" s="22"/>
      <c r="AM18" s="22"/>
      <c r="AN18" s="22"/>
      <c r="AO18" s="22"/>
      <c r="AP18" s="22"/>
      <c r="AQ18" s="22"/>
      <c r="AR18" s="22"/>
      <c r="AS18" s="22"/>
    </row>
    <row r="19" spans="1:45" ht="21" customHeight="1" x14ac:dyDescent="0.3">
      <c r="A19" s="22"/>
      <c r="B19" s="75"/>
      <c r="C19" s="426" t="str">
        <f>IF(INDEX(Status_Systeme,$A$2)=TRUE,"","A | ANLAGENTEILE")</f>
        <v>A | ANLAGENTEILE</v>
      </c>
      <c r="D19" s="426"/>
      <c r="E19" s="426"/>
      <c r="F19" s="426"/>
      <c r="G19" s="411"/>
      <c r="H19" s="411"/>
      <c r="I19" s="411"/>
      <c r="J19" s="411"/>
      <c r="K19" s="409"/>
      <c r="L19" s="409"/>
      <c r="M19" s="76"/>
      <c r="N19" s="78"/>
      <c r="O19" s="30"/>
      <c r="P19" s="22"/>
      <c r="Q19" s="22"/>
      <c r="R19" s="71"/>
      <c r="S19" s="71"/>
      <c r="T19" s="70" t="s">
        <v>361</v>
      </c>
      <c r="U19" s="70" t="s">
        <v>359</v>
      </c>
      <c r="V19" s="70" t="s">
        <v>360</v>
      </c>
      <c r="W19" s="70" t="s">
        <v>358</v>
      </c>
      <c r="X19" s="70" t="s">
        <v>362</v>
      </c>
      <c r="Y19" s="70" t="s">
        <v>358</v>
      </c>
      <c r="Z19" s="70" t="s">
        <v>358</v>
      </c>
      <c r="AA19" s="71"/>
      <c r="AB19" s="71"/>
      <c r="AC19" s="22"/>
      <c r="AD19" s="22"/>
      <c r="AE19" s="22"/>
      <c r="AF19" s="22"/>
      <c r="AG19" s="22"/>
      <c r="AH19" s="22"/>
      <c r="AI19" s="22"/>
      <c r="AJ19" s="22"/>
      <c r="AK19" s="22"/>
      <c r="AL19" s="22"/>
      <c r="AM19" s="22"/>
      <c r="AN19" s="22"/>
      <c r="AO19" s="22"/>
      <c r="AP19" s="22"/>
      <c r="AQ19" s="22"/>
      <c r="AR19" s="22"/>
      <c r="AS19" s="22"/>
    </row>
    <row r="20" spans="1:45" ht="16.5" customHeight="1" x14ac:dyDescent="0.3">
      <c r="A20" s="22"/>
      <c r="B20" s="184" t="str">
        <f>IF(O20="","","!")</f>
        <v>!</v>
      </c>
      <c r="C20" s="420" t="str">
        <f>IF(INDEX(Status_Systeme,$A$2)=TRUE,"",IF(Basis_WW_dezentral=TRUE,Tabellen!AT5,Tabellen!AT4))</f>
        <v>Warmwasserbereitung</v>
      </c>
      <c r="D20" s="420"/>
      <c r="E20" s="420"/>
      <c r="F20" s="420"/>
      <c r="G20" s="406"/>
      <c r="H20" s="406"/>
      <c r="I20" s="406"/>
      <c r="J20" s="60">
        <f>IF(C20="","",VLOOKUP(C20,Tabelle_Kosten_Komponenten,2,FALSE))</f>
        <v>30</v>
      </c>
      <c r="K20" s="405" t="str">
        <f>IF(OR(C20="",G20="",J20=""),"",Z20+W20-Y20)</f>
        <v/>
      </c>
      <c r="L20" s="405"/>
      <c r="M20" s="76"/>
      <c r="N20" s="178" t="str">
        <f>IF(O20="","","ï")</f>
        <v>ï</v>
      </c>
      <c r="O20" s="268" t="str">
        <f>IF(S20=TRUE,"",IF(LEN(C20)&gt;0,IF(G20="",TBS_Fehler_2,""),IF(G20="","",TBS_Fehler_3)))</f>
        <v>Bitte dieses Feld (roter Bereich = Pflichtfeld) ausfüllen!</v>
      </c>
      <c r="P20" s="272"/>
      <c r="Q20" s="22"/>
      <c r="R20" s="71"/>
      <c r="S20" s="72" t="b">
        <f>ISERROR(FIND("optional",C20))=FALSE</f>
        <v>0</v>
      </c>
      <c r="T20" s="72">
        <f>IF((Basis_Betrachtungszeitraum/J20)&lt;=1,0,IF((Basis_Betrachtungszeitraum/J20)&lt;=2,1,2))</f>
        <v>0</v>
      </c>
      <c r="U20" s="326">
        <f>IF(T20&lt;1,0,G20*IF($A$2=1,1,(1-Basis_Foerderung))*(1+Basis_Preisentwicklung_Produkte)^J20)</f>
        <v>0</v>
      </c>
      <c r="V20" s="326">
        <f>IF(T20&gt;1,G20*IF($A$2=1,1,(1-Basis_Foerderung))*(1+Basis_Preisentwicklung_Produkte)^(2*J20),0)</f>
        <v>0</v>
      </c>
      <c r="W20" s="326">
        <f>U20*(1/(1+Basis_Realzins))^J20+V20*(1/(1+Basis_Realzins))^(2*J20)</f>
        <v>0</v>
      </c>
      <c r="X20" s="73">
        <f>IF((INT(Basis_Betrachtungszeitraum/J20)=Basis_Betrachtungszeitraum/J20),1,(J20*(T20+1)-Basis_Betrachtungszeitraum)/J20)</f>
        <v>0.33333333333333331</v>
      </c>
      <c r="Y20" s="326">
        <f>IF(X20=1,0,IF(T20=0,G20*IF($A$2=1,1,(1-Basis_Foerderung)),INDEX(U20:V20,1,T20))*Basis_Diskontsatz*X20)</f>
        <v>0</v>
      </c>
      <c r="Z20" s="326">
        <f>G20*IF($A$2=1,1,(1-Basis_Foerderung))</f>
        <v>0</v>
      </c>
      <c r="AA20" s="71"/>
      <c r="AB20" s="71"/>
      <c r="AC20" s="22"/>
      <c r="AD20" s="22"/>
      <c r="AE20" s="22"/>
      <c r="AF20" s="22"/>
      <c r="AG20" s="22"/>
      <c r="AH20" s="22"/>
      <c r="AI20" s="22"/>
      <c r="AJ20" s="22"/>
      <c r="AK20" s="22"/>
      <c r="AL20" s="22"/>
      <c r="AM20" s="22"/>
      <c r="AN20" s="22"/>
      <c r="AO20" s="22"/>
      <c r="AP20" s="22"/>
      <c r="AQ20" s="22"/>
      <c r="AR20" s="22"/>
      <c r="AS20" s="22"/>
    </row>
    <row r="21" spans="1:45" x14ac:dyDescent="0.3">
      <c r="A21" s="22"/>
      <c r="B21" s="184" t="str">
        <f>IF(O21="","","!")</f>
        <v>!</v>
      </c>
      <c r="C21" s="420" t="str">
        <f>IF(INDEX(Status_Systeme,$A$2)=TRUE,"",IF(INDEX(Tabelle_Komponenten,1,8)="","",INDEX(Tabelle_Komponenten,1,8)))</f>
        <v>Wärmeerzeuger</v>
      </c>
      <c r="D21" s="420"/>
      <c r="E21" s="420"/>
      <c r="F21" s="420"/>
      <c r="G21" s="406"/>
      <c r="H21" s="406"/>
      <c r="I21" s="406"/>
      <c r="J21" s="60">
        <f>IF(C21="","",VLOOKUP(C21,Tabelle_Kosten_Komponenten,2,FALSE))</f>
        <v>30</v>
      </c>
      <c r="K21" s="405" t="str">
        <f t="shared" ref="K21:K23" si="0">IF(OR(C21="",G21="",J21=""),"",Z21+W21-Y21)</f>
        <v/>
      </c>
      <c r="L21" s="405"/>
      <c r="M21" s="76"/>
      <c r="N21" s="178" t="str">
        <f>IF(O21="","","ï")</f>
        <v>ï</v>
      </c>
      <c r="O21" s="268" t="str">
        <f>IF(S21=TRUE,"",IF(LEN(C21)&gt;0,IF(G21="",TBS_Fehler_2,""),IF(G21="","",TBS_Fehler_3)))</f>
        <v>Bitte dieses Feld (roter Bereich = Pflichtfeld) ausfüllen!</v>
      </c>
      <c r="P21" s="22"/>
      <c r="Q21" s="22"/>
      <c r="R21" s="71"/>
      <c r="S21" s="72" t="b">
        <f>ISERROR(FIND("optional",C21))=FALSE</f>
        <v>0</v>
      </c>
      <c r="T21" s="72">
        <f>IF((Basis_Betrachtungszeitraum/J21)&lt;=1,0,IF((Basis_Betrachtungszeitraum/J21)&lt;=2,1,2))</f>
        <v>0</v>
      </c>
      <c r="U21" s="326">
        <f>IF(T21&lt;1,0,G21*IF($A$2=1,1,(1-Basis_Foerderung))*(1+Basis_Preisentwicklung_Produkte)^J21)</f>
        <v>0</v>
      </c>
      <c r="V21" s="326">
        <f>IF(T21&gt;1,G21*IF($A$2=1,1,(1-Basis_Foerderung))*(1+Basis_Preisentwicklung_Produkte)^(2*J21),0)</f>
        <v>0</v>
      </c>
      <c r="W21" s="326">
        <f>U21*(1/(1+Basis_Realzins))^J21+V21*(1/(1+Basis_Realzins))^(2*J21)</f>
        <v>0</v>
      </c>
      <c r="X21" s="73">
        <f>IF((INT(Basis_Betrachtungszeitraum/J21)=Basis_Betrachtungszeitraum/J21),1,(J21*(T21+1)-Basis_Betrachtungszeitraum)/J21)</f>
        <v>0.33333333333333331</v>
      </c>
      <c r="Y21" s="326">
        <f>IF(X21=1,0,IF(T21=0,G21*IF($A$2=1,1,(1-Basis_Foerderung)),INDEX(U21:V21,1,T21))*Basis_Diskontsatz*X21)</f>
        <v>0</v>
      </c>
      <c r="Z21" s="326">
        <f>G21*IF($A$2=1,1,(1-Basis_Foerderung))</f>
        <v>0</v>
      </c>
      <c r="AA21" s="71"/>
      <c r="AB21" s="324" t="s">
        <v>364</v>
      </c>
      <c r="AC21" s="324"/>
      <c r="AD21" s="324"/>
      <c r="AE21" s="324"/>
      <c r="AF21" s="324"/>
      <c r="AG21" s="324"/>
      <c r="AH21" s="324"/>
      <c r="AI21" s="22"/>
      <c r="AJ21" s="22"/>
      <c r="AK21" s="22"/>
      <c r="AL21" s="22"/>
      <c r="AM21" s="22"/>
      <c r="AN21" s="22"/>
      <c r="AO21" s="22"/>
      <c r="AP21" s="22"/>
      <c r="AQ21" s="22"/>
      <c r="AR21" s="22"/>
      <c r="AS21" s="22"/>
    </row>
    <row r="22" spans="1:45" x14ac:dyDescent="0.3">
      <c r="A22" s="22"/>
      <c r="B22" s="184" t="str">
        <f>IF(O22="","","!")</f>
        <v>!</v>
      </c>
      <c r="C22" s="420" t="str">
        <f>IF(INDEX(Status_Systeme,$A$2)=TRUE,"",IF(INDEX(Tabelle_Komponenten,2,8)="","",INDEX(Tabelle_Komponenten,2,8)))</f>
        <v>Pufferspeicher</v>
      </c>
      <c r="D22" s="420"/>
      <c r="E22" s="420"/>
      <c r="F22" s="420"/>
      <c r="G22" s="406"/>
      <c r="H22" s="406"/>
      <c r="I22" s="406"/>
      <c r="J22" s="58">
        <f>IF(C22="","",VLOOKUP(C22,Tabelle_Kosten_Komponenten,2,FALSE))</f>
        <v>30</v>
      </c>
      <c r="K22" s="405" t="str">
        <f t="shared" si="0"/>
        <v/>
      </c>
      <c r="L22" s="405"/>
      <c r="M22" s="76"/>
      <c r="N22" s="178" t="str">
        <f>IF(O22="","","ï")</f>
        <v>ï</v>
      </c>
      <c r="O22" s="268" t="str">
        <f>IF(S22=TRUE,"",IF(LEN(C22)&gt;0,IF(G22="",TBS_Fehler_2,""),IF(G22="","",TBS_Fehler_3)))</f>
        <v>Bitte dieses Feld (roter Bereich = Pflichtfeld) ausfüllen!</v>
      </c>
      <c r="P22" s="22"/>
      <c r="Q22" s="22"/>
      <c r="R22" s="71"/>
      <c r="S22" s="72" t="b">
        <f>ISERROR(FIND("optional",C22))=FALSE</f>
        <v>0</v>
      </c>
      <c r="T22" s="72">
        <f>IF((Basis_Betrachtungszeitraum/J22)&lt;=1,0,IF((Basis_Betrachtungszeitraum/J22)&lt;=2,1,2))</f>
        <v>0</v>
      </c>
      <c r="U22" s="326">
        <f>IF(T22&lt;1,0,G22*IF($A$2=1,1,(1-Basis_Foerderung))*(1+Basis_Preisentwicklung_Produkte)^J22)</f>
        <v>0</v>
      </c>
      <c r="V22" s="326">
        <f>IF(T22&gt;1,G22*IF($A$2=1,1,(1-Basis_Foerderung))*(1+Basis_Preisentwicklung_Produkte)^(2*J22),0)</f>
        <v>0</v>
      </c>
      <c r="W22" s="326">
        <f>U22*(1/(1+Basis_Realzins))^J22+V22*(1/(1+Basis_Realzins))^(2*J22)</f>
        <v>0</v>
      </c>
      <c r="X22" s="73">
        <f>IF((INT(Basis_Betrachtungszeitraum/J22)=Basis_Betrachtungszeitraum/J22),1,(J22*(T22+1)-Basis_Betrachtungszeitraum)/J22)</f>
        <v>0.33333333333333331</v>
      </c>
      <c r="Y22" s="326">
        <f>IF(X22=1,0,IF(T22=0,G22*IF($A$2=1,1,(1-Basis_Foerderung)),INDEX(U22:V22,1,T22))*Basis_Diskontsatz*X22)</f>
        <v>0</v>
      </c>
      <c r="Z22" s="326">
        <f>G22*IF($A$2=1,1,(1-Basis_Foerderung))</f>
        <v>0</v>
      </c>
      <c r="AA22" s="71"/>
      <c r="AB22" s="70" t="s">
        <v>356</v>
      </c>
      <c r="AC22" s="404" t="s">
        <v>4</v>
      </c>
      <c r="AD22" s="404"/>
      <c r="AE22" s="404"/>
      <c r="AF22" s="404"/>
      <c r="AG22" s="404" t="s">
        <v>2</v>
      </c>
      <c r="AH22" s="404"/>
      <c r="AI22" s="70" t="s">
        <v>355</v>
      </c>
      <c r="AJ22" s="22"/>
      <c r="AK22" s="22"/>
      <c r="AL22" s="22"/>
      <c r="AM22" s="22"/>
      <c r="AN22" s="22"/>
      <c r="AO22" s="22"/>
      <c r="AP22" s="22"/>
      <c r="AQ22" s="22"/>
      <c r="AR22" s="22"/>
      <c r="AS22" s="22"/>
    </row>
    <row r="23" spans="1:45" x14ac:dyDescent="0.3">
      <c r="A23" s="22"/>
      <c r="B23" s="184" t="str">
        <f>IF(O23="","","!")</f>
        <v>!</v>
      </c>
      <c r="C23" s="420" t="str">
        <f>IF(INDEX(Status_Systeme,$A$2)=TRUE,"",IF(INDEX(Tabelle_Komponenten,3,8)="","",INDEX(Tabelle_Komponenten,3,8)))</f>
        <v>Austragesystem</v>
      </c>
      <c r="D23" s="420"/>
      <c r="E23" s="420"/>
      <c r="F23" s="420"/>
      <c r="G23" s="406"/>
      <c r="H23" s="406"/>
      <c r="I23" s="406"/>
      <c r="J23" s="58">
        <f>IF(C23="","",VLOOKUP(C23,Tabelle_Kosten_Komponenten,2,FALSE))</f>
        <v>30</v>
      </c>
      <c r="K23" s="405" t="str">
        <f t="shared" si="0"/>
        <v/>
      </c>
      <c r="L23" s="405"/>
      <c r="M23" s="76"/>
      <c r="N23" s="178" t="str">
        <f>IF(O23="","","ï")</f>
        <v>ï</v>
      </c>
      <c r="O23" s="268" t="str">
        <f>IF(S23=TRUE,"",IF(LEN(C23)&gt;0,IF(G23="",TBS_Fehler_2,""),IF(G23="","",TBS_Fehler_3)))</f>
        <v>Bitte dieses Feld (roter Bereich = Pflichtfeld) ausfüllen!</v>
      </c>
      <c r="P23" s="22"/>
      <c r="Q23" s="22"/>
      <c r="R23" s="71"/>
      <c r="S23" s="72" t="b">
        <f>ISERROR(FIND("optional",C23))=FALSE</f>
        <v>0</v>
      </c>
      <c r="T23" s="72">
        <f>IF((Basis_Betrachtungszeitraum/J23)&lt;=1,0,IF((Basis_Betrachtungszeitraum/J23)&lt;=2,1,2))</f>
        <v>0</v>
      </c>
      <c r="U23" s="326">
        <f>IF(T23&lt;1,0,G23*IF($A$2=1,1,(1-Basis_Foerderung))*(1+Basis_Preisentwicklung_Produkte)^J23)</f>
        <v>0</v>
      </c>
      <c r="V23" s="326">
        <f>IF(T23&gt;1,G23*IF($A$2=1,1,(1-Basis_Foerderung))*(1+Basis_Preisentwicklung_Produkte)^(2*J23),0)</f>
        <v>0</v>
      </c>
      <c r="W23" s="326">
        <f>U23*(1/(1+Basis_Realzins))^J23+V23*(1/(1+Basis_Realzins))^(2*J23)</f>
        <v>0</v>
      </c>
      <c r="X23" s="73">
        <f>IF((INT(Basis_Betrachtungszeitraum/J23)=Basis_Betrachtungszeitraum/J23),1,(J23*(T23+1)-Basis_Betrachtungszeitraum)/J23)</f>
        <v>0.33333333333333331</v>
      </c>
      <c r="Y23" s="326">
        <f>IF(X23=1,0,IF(T23=0,G23*IF($A$2=1,1,(1-Basis_Foerderung)),INDEX(U23:V23,1,T23))*Basis_Diskontsatz*X23)</f>
        <v>0</v>
      </c>
      <c r="Z23" s="326">
        <f>G23*IF($A$2=1,1,(1-Basis_Foerderung))</f>
        <v>0</v>
      </c>
      <c r="AA23" s="71"/>
      <c r="AB23" s="70" t="s">
        <v>365</v>
      </c>
      <c r="AC23" s="70" t="s">
        <v>361</v>
      </c>
      <c r="AD23" s="70" t="s">
        <v>359</v>
      </c>
      <c r="AE23" s="70" t="s">
        <v>360</v>
      </c>
      <c r="AF23" s="70" t="s">
        <v>358</v>
      </c>
      <c r="AG23" s="70" t="s">
        <v>362</v>
      </c>
      <c r="AH23" s="70" t="s">
        <v>358</v>
      </c>
      <c r="AI23" s="70" t="s">
        <v>358</v>
      </c>
      <c r="AJ23" s="22"/>
      <c r="AK23" s="22"/>
      <c r="AL23" s="22"/>
      <c r="AM23" s="22"/>
      <c r="AN23" s="22"/>
      <c r="AO23" s="22"/>
      <c r="AP23" s="22"/>
      <c r="AQ23" s="22"/>
      <c r="AR23" s="22"/>
      <c r="AS23" s="22"/>
    </row>
    <row r="24" spans="1:45" ht="21" customHeight="1" x14ac:dyDescent="0.3">
      <c r="A24" s="22"/>
      <c r="B24" s="75"/>
      <c r="C24" s="242" t="str">
        <f>IF(INDEX(Status_Systeme,$A$2)=TRUE,"","B | BAULICHE MASSNAHMEN")</f>
        <v>B | BAULICHE MASSNAHMEN</v>
      </c>
      <c r="D24" s="188"/>
      <c r="E24" s="188"/>
      <c r="F24" s="188"/>
      <c r="G24" s="161"/>
      <c r="H24" s="161"/>
      <c r="I24" s="161"/>
      <c r="J24" s="188"/>
      <c r="K24" s="188"/>
      <c r="L24" s="188"/>
      <c r="M24" s="76"/>
      <c r="N24" s="78"/>
      <c r="O24" s="268"/>
      <c r="P24" s="64"/>
      <c r="Q24" s="22"/>
      <c r="R24" s="71"/>
      <c r="S24" s="71"/>
      <c r="T24" s="71"/>
      <c r="U24" s="71"/>
      <c r="V24" s="71"/>
      <c r="W24" s="71"/>
      <c r="X24" s="71"/>
      <c r="Y24" s="71"/>
      <c r="Z24" s="71"/>
      <c r="AA24" s="71"/>
      <c r="AB24" s="71"/>
      <c r="AC24" s="22"/>
      <c r="AD24" s="22"/>
      <c r="AE24" s="22"/>
      <c r="AF24" s="22"/>
      <c r="AG24" s="22"/>
      <c r="AH24" s="22"/>
      <c r="AI24" s="22"/>
      <c r="AJ24" s="22"/>
      <c r="AK24" s="22"/>
      <c r="AL24" s="22"/>
      <c r="AM24" s="22"/>
      <c r="AN24" s="22"/>
      <c r="AO24" s="22"/>
      <c r="AP24" s="22"/>
      <c r="AQ24" s="22"/>
      <c r="AR24" s="22"/>
      <c r="AS24" s="22"/>
    </row>
    <row r="25" spans="1:45" x14ac:dyDescent="0.3">
      <c r="A25" s="22"/>
      <c r="B25" s="184" t="str">
        <f t="shared" ref="B25:B31" si="1">IF(O25="","","!")</f>
        <v>!</v>
      </c>
      <c r="C25" s="81" t="str">
        <f>IF(INDEX(Status_Systeme,$A$2)=TRUE,"",IF(INDEX(Tabelle_Komponenten,8,8)="","",INDEX(Tabelle_Komponenten,8,8)))</f>
        <v>Rauchfang</v>
      </c>
      <c r="D25" s="81"/>
      <c r="E25" s="81"/>
      <c r="F25" s="333" t="str">
        <f>IF(INDEX(Status_Systeme,$A$2)=TRUE,"",IF(AB25=FALSE,"","BESTAND"))</f>
        <v/>
      </c>
      <c r="G25" s="406"/>
      <c r="H25" s="406"/>
      <c r="I25" s="406"/>
      <c r="J25" s="60">
        <f t="shared" ref="J25:J31" si="2">IF(C25="","",VLOOKUP(C25,Tabelle_Kosten_Komponenten,2,FALSE))</f>
        <v>50</v>
      </c>
      <c r="K25" s="405" t="str">
        <f>IF(OR(C25="",G25="",J25=""),"",IF(AB25=FALSE,Z25+W25-Y25,AI25+AF25-AH25))</f>
        <v/>
      </c>
      <c r="L25" s="405"/>
      <c r="M25" s="76"/>
      <c r="N25" s="178" t="str">
        <f t="shared" ref="N25:N31" si="3">IF(O25="","","ï")</f>
        <v>ï</v>
      </c>
      <c r="O25" s="268" t="str">
        <f t="shared" ref="O25:O31" si="4">IF(S25=TRUE,"",IF(LEN(C25)&gt;0,IF(G25="",TBS_Fehler_2,""),IF(G25="","",TBS_Fehler_3)))</f>
        <v>Bitte dieses Feld (roter Bereich = Pflichtfeld) ausfüllen!</v>
      </c>
      <c r="P25" s="272"/>
      <c r="Q25" s="22"/>
      <c r="R25" s="71"/>
      <c r="S25" s="72" t="b">
        <f>ISERROR(FIND("optional",C25))=FALSE</f>
        <v>0</v>
      </c>
      <c r="T25" s="72">
        <f t="shared" ref="T25:T31" si="5">IF((Basis_Betrachtungszeitraum/J25)&lt;=1,0,IF((Basis_Betrachtungszeitraum/J25)&lt;=2,1,2))</f>
        <v>0</v>
      </c>
      <c r="U25" s="326">
        <f t="shared" ref="U25:U31" si="6">IF(T25&lt;1,0,G25*IF($A$2=1,1,(1-Basis_Foerderung))*(1+Basis_Preisentwicklung_Produkte)^J25)</f>
        <v>0</v>
      </c>
      <c r="V25" s="326">
        <f t="shared" ref="V25:V31" si="7">IF(T25&gt;1,G25*IF($A$2=1,1,(1-Basis_Foerderung))*(1+Basis_Preisentwicklung_Produkte)^(2*J25),0)</f>
        <v>0</v>
      </c>
      <c r="W25" s="326">
        <f t="shared" ref="W25:W31" si="8">U25*(1/(1+Basis_Realzins))^J25+V25*(1/(1+Basis_Realzins))^(2*J25)</f>
        <v>0</v>
      </c>
      <c r="X25" s="73">
        <f t="shared" ref="X25:X31" si="9">IF((INT(Basis_Betrachtungszeitraum/J25)=Basis_Betrachtungszeitraum/J25),1,(J25*(T25+1)-Basis_Betrachtungszeitraum)/J25)</f>
        <v>0.6</v>
      </c>
      <c r="Y25" s="326">
        <f t="shared" ref="Y25:Y31" si="10">IF(X25=1,0,IF(T25=0,G25*IF($A$2=1,1,(1-Basis_Foerderung)),INDEX(U25:V25,1,T25))*Basis_Diskontsatz*X25)</f>
        <v>0</v>
      </c>
      <c r="Z25" s="326">
        <f t="shared" ref="Z25:Z31" si="11">G25*IF($A$2=1,1,(1-Basis_Foerderung))</f>
        <v>0</v>
      </c>
      <c r="AA25" s="71"/>
      <c r="AB25" s="72" t="b">
        <f>IF(OR(BestandRH_Select&lt;3,(Jahr_Betrachtung-Jahr_Kessel)&gt;=J25,J25=""),FALSE,Jahr_Betrachtung-Jahr_Kessel)</f>
        <v>0</v>
      </c>
      <c r="AC25" s="72">
        <f>IF((-AB25+J25)&gt;=Basis_Betrachtungszeitraum,0,IF((-AB25+2*J25)&lt;Basis_Betrachtungszeitraum,2,1))</f>
        <v>0</v>
      </c>
      <c r="AD25" s="326">
        <f>IF(AC25&lt;1,0,G25*(1+Basis_Preisentwicklung_Produkte)^(-AB25+J25))*IF($A$2=1,1,(1-Basis_Foerderung))</f>
        <v>0</v>
      </c>
      <c r="AE25" s="326">
        <f>IF(AC25&gt;1,G25*(1+Basis_Preisentwicklung_Produkte)^(-AB25+2*J25),0)*IF($A$2=1,1,(1-Basis_Foerderung))</f>
        <v>0</v>
      </c>
      <c r="AF25" s="326">
        <f>AD25*(1/(1+Basis_Realzins))^(-AB25+J25)+AE25*(1/(1+Basis_Realzins))^(-AB25+2*J25)</f>
        <v>0</v>
      </c>
      <c r="AG25" s="73">
        <f>(-AB25+(AC25+1)*J25-Basis_Betrachtungszeitraum)/J25</f>
        <v>0.6</v>
      </c>
      <c r="AH25" s="326">
        <f t="shared" ref="AH25:AH27" si="12">IF(AG25=1,0,IF(AC25=0,P25*IF($A$2=1,1,(1-Basis_Foerderung)),INDEX(AD25:AE25,1,AC25))*Basis_Diskontsatz*AG25)</f>
        <v>0</v>
      </c>
      <c r="AI25" s="326">
        <f>G25*((1/(1+Basis_Realzins))^(AB25))*(AB25)/J25*IF($A$2=1,1,(1-Basis_Foerderung))</f>
        <v>0</v>
      </c>
      <c r="AJ25" s="22"/>
      <c r="AK25" s="22"/>
      <c r="AL25" s="22"/>
      <c r="AM25" s="22"/>
      <c r="AN25" s="22"/>
      <c r="AO25" s="22"/>
      <c r="AP25" s="22"/>
      <c r="AQ25" s="22"/>
      <c r="AR25" s="22"/>
      <c r="AS25" s="22"/>
    </row>
    <row r="26" spans="1:45" x14ac:dyDescent="0.3">
      <c r="A26" s="22"/>
      <c r="B26" s="184" t="str">
        <f t="shared" si="1"/>
        <v>!</v>
      </c>
      <c r="C26" s="248" t="str">
        <f>IF(INDEX(Status_Systeme,$A$2)=TRUE,"",IF(INDEX(Tabelle_Komponenten,9,8)="","",INDEX(Tabelle_Komponenten,9,8)))</f>
        <v>Mantelstein</v>
      </c>
      <c r="D26" s="248"/>
      <c r="E26" s="248"/>
      <c r="F26" s="333" t="str">
        <f>IF(INDEX(Status_Systeme,$A$2)=TRUE,"",IF(AB26=FALSE,"","BESTAND"))</f>
        <v/>
      </c>
      <c r="G26" s="406"/>
      <c r="H26" s="406"/>
      <c r="I26" s="406"/>
      <c r="J26" s="60">
        <f t="shared" si="2"/>
        <v>50</v>
      </c>
      <c r="K26" s="405" t="str">
        <f>IF(OR(C26="",G26="",J26=""),"",IF(AB26=FALSE,Z26+W26-Y26,AI26+AF26-AH26))</f>
        <v/>
      </c>
      <c r="L26" s="405"/>
      <c r="M26" s="76"/>
      <c r="N26" s="178" t="str">
        <f t="shared" si="3"/>
        <v>ï</v>
      </c>
      <c r="O26" s="268" t="str">
        <f t="shared" si="4"/>
        <v>Bitte dieses Feld (roter Bereich = Pflichtfeld) ausfüllen!</v>
      </c>
      <c r="P26" s="65"/>
      <c r="Q26" s="22"/>
      <c r="R26" s="71"/>
      <c r="S26" s="72" t="b">
        <f>ISERROR(FIND("optional",C26))=FALSE</f>
        <v>0</v>
      </c>
      <c r="T26" s="72">
        <f t="shared" si="5"/>
        <v>0</v>
      </c>
      <c r="U26" s="326">
        <f t="shared" si="6"/>
        <v>0</v>
      </c>
      <c r="V26" s="326">
        <f t="shared" si="7"/>
        <v>0</v>
      </c>
      <c r="W26" s="326">
        <f t="shared" si="8"/>
        <v>0</v>
      </c>
      <c r="X26" s="73">
        <f t="shared" si="9"/>
        <v>0.6</v>
      </c>
      <c r="Y26" s="326">
        <f t="shared" si="10"/>
        <v>0</v>
      </c>
      <c r="Z26" s="326">
        <f t="shared" si="11"/>
        <v>0</v>
      </c>
      <c r="AA26" s="71"/>
      <c r="AB26" s="72" t="b">
        <f>IF(OR(BestandRH_Select&lt;3,(Jahr_Betrachtung-Jahr_Kessel)&gt;=J26,J26=""),FALSE,Jahr_Betrachtung-Jahr_Kessel)</f>
        <v>0</v>
      </c>
      <c r="AC26" s="72">
        <f>IF((-AB26+J26)&gt;=Basis_Betrachtungszeitraum,0,IF((-AB26+2*J26)&lt;Basis_Betrachtungszeitraum,2,1))</f>
        <v>0</v>
      </c>
      <c r="AD26" s="326">
        <f>IF(AC26&lt;1,0,G26*(1+Basis_Preisentwicklung_Produkte)^(-AB26+J26))*IF($A$2=1,1,(1-Basis_Foerderung))</f>
        <v>0</v>
      </c>
      <c r="AE26" s="326">
        <f>IF(AC26&gt;1,G26*(1+Basis_Preisentwicklung_Produkte)^(-AB26+2*J26),0)*IF($A$2=1,1,(1-Basis_Foerderung))</f>
        <v>0</v>
      </c>
      <c r="AF26" s="326">
        <f>AD26*(1/(1+Basis_Realzins))^(-AB26+J26)+AE26*(1/(1+Basis_Realzins))^(-AB26+2*J26)</f>
        <v>0</v>
      </c>
      <c r="AG26" s="73">
        <f>(-AB26+(AC26+1)*J26-Basis_Betrachtungszeitraum)/J26</f>
        <v>0.6</v>
      </c>
      <c r="AH26" s="326">
        <f t="shared" si="12"/>
        <v>0</v>
      </c>
      <c r="AI26" s="326">
        <f>G26*((1/(1+Basis_Realzins))^(AB26))*(AB26)/J26*IF($A$2=1,1,(1-Basis_Foerderung))</f>
        <v>0</v>
      </c>
      <c r="AJ26" s="22"/>
      <c r="AK26" s="22"/>
      <c r="AL26" s="22"/>
      <c r="AM26" s="22"/>
      <c r="AN26" s="22"/>
      <c r="AO26" s="22"/>
      <c r="AP26" s="22"/>
      <c r="AQ26" s="22"/>
      <c r="AR26" s="22"/>
      <c r="AS26" s="22"/>
    </row>
    <row r="27" spans="1:45" x14ac:dyDescent="0.3">
      <c r="A27" s="22"/>
      <c r="B27" s="184" t="str">
        <f t="shared" si="1"/>
        <v>!</v>
      </c>
      <c r="C27" s="248" t="str">
        <f>IF(INDEX(Status_Systeme,$A$2)=TRUE,"",IF(INDEX(Tabelle_Komponenten,10,8)="","",INDEX(Tabelle_Komponenten,10,8)))</f>
        <v>Spenglerarbeiten Rauchfang</v>
      </c>
      <c r="D27" s="248"/>
      <c r="E27" s="248"/>
      <c r="F27" s="333" t="str">
        <f>IF(INDEX(Status_Systeme,$A$2)=TRUE,"",IF(AB27=FALSE,"","BESTAND"))</f>
        <v/>
      </c>
      <c r="G27" s="406"/>
      <c r="H27" s="406"/>
      <c r="I27" s="406"/>
      <c r="J27" s="60">
        <f t="shared" si="2"/>
        <v>50</v>
      </c>
      <c r="K27" s="405" t="str">
        <f>IF(OR(C27="",G27="",J27=""),"",IF(AB27=FALSE,Z27+W27-Y27,AI27+AF27-AH27))</f>
        <v/>
      </c>
      <c r="L27" s="405"/>
      <c r="M27" s="76"/>
      <c r="N27" s="178" t="str">
        <f t="shared" si="3"/>
        <v>ï</v>
      </c>
      <c r="O27" s="268" t="str">
        <f t="shared" si="4"/>
        <v>Bitte dieses Feld (roter Bereich = Pflichtfeld) ausfüllen!</v>
      </c>
      <c r="P27" s="22"/>
      <c r="Q27" s="22"/>
      <c r="R27" s="71"/>
      <c r="S27" s="72" t="b">
        <f>ISERROR(FIND("optional",C27))=FALSE</f>
        <v>0</v>
      </c>
      <c r="T27" s="72">
        <f t="shared" si="5"/>
        <v>0</v>
      </c>
      <c r="U27" s="326">
        <f t="shared" si="6"/>
        <v>0</v>
      </c>
      <c r="V27" s="326">
        <f t="shared" si="7"/>
        <v>0</v>
      </c>
      <c r="W27" s="326">
        <f t="shared" si="8"/>
        <v>0</v>
      </c>
      <c r="X27" s="73">
        <f t="shared" si="9"/>
        <v>0.6</v>
      </c>
      <c r="Y27" s="326">
        <f t="shared" si="10"/>
        <v>0</v>
      </c>
      <c r="Z27" s="326">
        <f t="shared" si="11"/>
        <v>0</v>
      </c>
      <c r="AA27" s="71"/>
      <c r="AB27" s="72" t="b">
        <f>IF(OR(BestandRH_Select&lt;3,(Jahr_Betrachtung-Jahr_Kessel)&gt;=J27,J27=""),FALSE,Jahr_Betrachtung-Jahr_Kessel)</f>
        <v>0</v>
      </c>
      <c r="AC27" s="72">
        <f>IF((-AB27+J27)&gt;=Basis_Betrachtungszeitraum,0,IF((-AB27+2*J27)&lt;Basis_Betrachtungszeitraum,2,1))</f>
        <v>0</v>
      </c>
      <c r="AD27" s="326">
        <f>IF(AC27&lt;1,0,G27*(1+Basis_Preisentwicklung_Produkte)^(-AB27+J27))*IF($A$2=1,1,(1-Basis_Foerderung))</f>
        <v>0</v>
      </c>
      <c r="AE27" s="326">
        <f>IF(AC27&gt;1,G27*(1+Basis_Preisentwicklung_Produkte)^(-AB27+2*J27),0)*IF($A$2=1,1,(1-Basis_Foerderung))</f>
        <v>0</v>
      </c>
      <c r="AF27" s="326">
        <f>AD27*(1/(1+Basis_Realzins))^(-AB27+J27)+AE27*(1/(1+Basis_Realzins))^(-AB27+2*J27)</f>
        <v>0</v>
      </c>
      <c r="AG27" s="73">
        <f>(-AB27+(AC27+1)*J27-Basis_Betrachtungszeitraum)/J27</f>
        <v>0.6</v>
      </c>
      <c r="AH27" s="326">
        <f t="shared" si="12"/>
        <v>0</v>
      </c>
      <c r="AI27" s="326">
        <f>G27*((1/(1+Basis_Realzins))^(AB27))*(AB27)/J27*IF($A$2=1,1,(1-Basis_Foerderung))</f>
        <v>0</v>
      </c>
      <c r="AJ27" s="22"/>
      <c r="AK27" s="22"/>
      <c r="AL27" s="22"/>
      <c r="AM27" s="22"/>
      <c r="AN27" s="22"/>
      <c r="AO27" s="22"/>
      <c r="AP27" s="22"/>
      <c r="AQ27" s="22"/>
      <c r="AR27" s="22"/>
      <c r="AS27" s="22"/>
    </row>
    <row r="28" spans="1:45" x14ac:dyDescent="0.3">
      <c r="A28" s="22"/>
      <c r="B28" s="184" t="str">
        <f t="shared" si="1"/>
        <v/>
      </c>
      <c r="C28" s="414" t="str">
        <f>IF(INDEX(Status_Systeme,$A$2)=TRUE,"",IF(INDEX(Tabelle_Komponenten,11,8)="","",INDEX(Tabelle_Komponenten,11,8)))</f>
        <v/>
      </c>
      <c r="D28" s="414"/>
      <c r="E28" s="414"/>
      <c r="F28" s="414"/>
      <c r="G28" s="406"/>
      <c r="H28" s="406"/>
      <c r="I28" s="406"/>
      <c r="J28" s="60" t="str">
        <f t="shared" si="2"/>
        <v/>
      </c>
      <c r="K28" s="405" t="str">
        <f t="shared" ref="K28:K31" si="13">IF(OR(C28="",G28="",J28=""),"",Z28+W28-Y28)</f>
        <v/>
      </c>
      <c r="L28" s="405"/>
      <c r="M28" s="76"/>
      <c r="N28" s="178" t="str">
        <f t="shared" si="3"/>
        <v/>
      </c>
      <c r="O28" s="268" t="str">
        <f t="shared" si="4"/>
        <v/>
      </c>
      <c r="P28" s="22"/>
      <c r="Q28" s="22"/>
      <c r="R28" s="71"/>
      <c r="S28" s="72" t="b">
        <f>ISERROR(FIND("optional",C28))=FALSE</f>
        <v>0</v>
      </c>
      <c r="T28" s="72" t="e">
        <f t="shared" si="5"/>
        <v>#VALUE!</v>
      </c>
      <c r="U28" s="326" t="e">
        <f t="shared" si="6"/>
        <v>#VALUE!</v>
      </c>
      <c r="V28" s="326" t="e">
        <f t="shared" si="7"/>
        <v>#VALUE!</v>
      </c>
      <c r="W28" s="326" t="e">
        <f t="shared" si="8"/>
        <v>#VALUE!</v>
      </c>
      <c r="X28" s="73" t="e">
        <f t="shared" si="9"/>
        <v>#VALUE!</v>
      </c>
      <c r="Y28" s="326" t="e">
        <f t="shared" si="10"/>
        <v>#VALUE!</v>
      </c>
      <c r="Z28" s="326">
        <f t="shared" si="11"/>
        <v>0</v>
      </c>
      <c r="AA28" s="71"/>
      <c r="AB28" s="71"/>
      <c r="AC28" s="22"/>
      <c r="AD28" s="22"/>
      <c r="AE28" s="22"/>
      <c r="AF28" s="22"/>
      <c r="AG28" s="22"/>
      <c r="AH28" s="22"/>
      <c r="AI28" s="22"/>
      <c r="AJ28" s="22"/>
      <c r="AK28" s="22"/>
      <c r="AL28" s="22"/>
      <c r="AM28" s="22"/>
      <c r="AN28" s="22"/>
      <c r="AO28" s="22"/>
      <c r="AP28" s="22"/>
      <c r="AQ28" s="22"/>
      <c r="AR28" s="22"/>
      <c r="AS28" s="22"/>
    </row>
    <row r="29" spans="1:45" x14ac:dyDescent="0.3">
      <c r="A29" s="22"/>
      <c r="B29" s="184" t="str">
        <f t="shared" si="1"/>
        <v/>
      </c>
      <c r="C29" s="414" t="str">
        <f>IF(INDEX(Status_Systeme,$A$2)=TRUE,"",IF(INDEX(Tabelle_Komponenten,12,8)="","",INDEX(Tabelle_Komponenten,12,8)))</f>
        <v/>
      </c>
      <c r="D29" s="414"/>
      <c r="E29" s="414"/>
      <c r="F29" s="414"/>
      <c r="G29" s="406"/>
      <c r="H29" s="406"/>
      <c r="I29" s="406"/>
      <c r="J29" s="60" t="str">
        <f t="shared" si="2"/>
        <v/>
      </c>
      <c r="K29" s="405" t="str">
        <f t="shared" si="13"/>
        <v/>
      </c>
      <c r="L29" s="405"/>
      <c r="M29" s="76"/>
      <c r="N29" s="178" t="str">
        <f t="shared" si="3"/>
        <v/>
      </c>
      <c r="O29" s="268" t="str">
        <f t="shared" si="4"/>
        <v/>
      </c>
      <c r="P29" s="22"/>
      <c r="Q29" s="22"/>
      <c r="R29" s="71"/>
      <c r="S29" s="72" t="b">
        <f>ISERROR(FIND("optional",C29))=FALSE</f>
        <v>0</v>
      </c>
      <c r="T29" s="72" t="e">
        <f t="shared" si="5"/>
        <v>#VALUE!</v>
      </c>
      <c r="U29" s="326" t="e">
        <f t="shared" si="6"/>
        <v>#VALUE!</v>
      </c>
      <c r="V29" s="326" t="e">
        <f t="shared" si="7"/>
        <v>#VALUE!</v>
      </c>
      <c r="W29" s="326" t="e">
        <f t="shared" si="8"/>
        <v>#VALUE!</v>
      </c>
      <c r="X29" s="73" t="e">
        <f t="shared" si="9"/>
        <v>#VALUE!</v>
      </c>
      <c r="Y29" s="326" t="e">
        <f t="shared" si="10"/>
        <v>#VALUE!</v>
      </c>
      <c r="Z29" s="326">
        <f t="shared" si="11"/>
        <v>0</v>
      </c>
      <c r="AA29" s="71"/>
      <c r="AB29" s="71"/>
      <c r="AC29" s="22"/>
      <c r="AD29" s="22"/>
      <c r="AE29" s="22"/>
      <c r="AF29" s="22"/>
      <c r="AG29" s="22"/>
      <c r="AH29" s="22"/>
      <c r="AI29" s="22"/>
      <c r="AJ29" s="22"/>
      <c r="AK29" s="22"/>
      <c r="AL29" s="22"/>
      <c r="AM29" s="22"/>
      <c r="AN29" s="22"/>
      <c r="AO29" s="22"/>
      <c r="AP29" s="22"/>
      <c r="AQ29" s="22"/>
      <c r="AR29" s="22"/>
      <c r="AS29" s="22"/>
    </row>
    <row r="30" spans="1:45" x14ac:dyDescent="0.3">
      <c r="A30" s="22"/>
      <c r="B30" s="184" t="str">
        <f t="shared" si="1"/>
        <v/>
      </c>
      <c r="C30" s="414" t="str">
        <f>IF(INDEX(Status_Systeme,$A$2)=TRUE,"",IF(INDEX(Tabelle_Komponenten,5,8)="","",INDEX(Tabelle_Komponenten,5,8)))</f>
        <v/>
      </c>
      <c r="D30" s="414"/>
      <c r="E30" s="414"/>
      <c r="F30" s="414"/>
      <c r="G30" s="406"/>
      <c r="H30" s="406"/>
      <c r="I30" s="406"/>
      <c r="J30" s="60" t="str">
        <f t="shared" si="2"/>
        <v/>
      </c>
      <c r="K30" s="405" t="str">
        <f t="shared" si="13"/>
        <v/>
      </c>
      <c r="L30" s="405"/>
      <c r="M30" s="76"/>
      <c r="N30" s="178" t="str">
        <f t="shared" si="3"/>
        <v/>
      </c>
      <c r="O30" s="268" t="str">
        <f t="shared" si="4"/>
        <v/>
      </c>
      <c r="P30" s="22"/>
      <c r="Q30" s="22"/>
      <c r="R30" s="71"/>
      <c r="S30" s="72" t="b">
        <f t="shared" ref="S30:S31" si="14">ISERROR(FIND("optional",C30))=FALSE</f>
        <v>0</v>
      </c>
      <c r="T30" s="72" t="e">
        <f t="shared" si="5"/>
        <v>#VALUE!</v>
      </c>
      <c r="U30" s="326" t="e">
        <f t="shared" si="6"/>
        <v>#VALUE!</v>
      </c>
      <c r="V30" s="326" t="e">
        <f t="shared" si="7"/>
        <v>#VALUE!</v>
      </c>
      <c r="W30" s="326" t="e">
        <f t="shared" si="8"/>
        <v>#VALUE!</v>
      </c>
      <c r="X30" s="73" t="e">
        <f t="shared" si="9"/>
        <v>#VALUE!</v>
      </c>
      <c r="Y30" s="326" t="e">
        <f t="shared" si="10"/>
        <v>#VALUE!</v>
      </c>
      <c r="Z30" s="326">
        <f t="shared" si="11"/>
        <v>0</v>
      </c>
      <c r="AA30" s="71"/>
      <c r="AB30" s="71"/>
      <c r="AC30" s="22"/>
      <c r="AD30" s="22"/>
      <c r="AE30" s="22"/>
      <c r="AF30" s="22"/>
      <c r="AG30" s="22"/>
      <c r="AH30" s="22"/>
      <c r="AI30" s="22"/>
      <c r="AJ30" s="22"/>
      <c r="AK30" s="22"/>
      <c r="AL30" s="22"/>
      <c r="AM30" s="22"/>
      <c r="AN30" s="22"/>
      <c r="AO30" s="22"/>
      <c r="AP30" s="22"/>
      <c r="AQ30" s="22"/>
      <c r="AR30" s="22"/>
      <c r="AS30" s="22"/>
    </row>
    <row r="31" spans="1:45" x14ac:dyDescent="0.3">
      <c r="A31" s="22"/>
      <c r="B31" s="184" t="str">
        <f t="shared" si="1"/>
        <v/>
      </c>
      <c r="C31" s="414" t="str">
        <f>IF(INDEX(Status_Systeme,$A$2)=TRUE,"",IF(INDEX(Tabelle_Komponenten,6,8)="","",INDEX(Tabelle_Komponenten,6,8)))</f>
        <v/>
      </c>
      <c r="D31" s="414"/>
      <c r="E31" s="414"/>
      <c r="F31" s="414"/>
      <c r="G31" s="406"/>
      <c r="H31" s="406"/>
      <c r="I31" s="406"/>
      <c r="J31" s="60" t="str">
        <f t="shared" si="2"/>
        <v/>
      </c>
      <c r="K31" s="405" t="str">
        <f t="shared" si="13"/>
        <v/>
      </c>
      <c r="L31" s="405"/>
      <c r="M31" s="76"/>
      <c r="N31" s="178" t="str">
        <f t="shared" si="3"/>
        <v/>
      </c>
      <c r="O31" s="268" t="str">
        <f t="shared" si="4"/>
        <v/>
      </c>
      <c r="P31" s="22"/>
      <c r="Q31" s="22"/>
      <c r="R31" s="71"/>
      <c r="S31" s="72" t="b">
        <f t="shared" si="14"/>
        <v>0</v>
      </c>
      <c r="T31" s="72" t="e">
        <f t="shared" si="5"/>
        <v>#VALUE!</v>
      </c>
      <c r="U31" s="326" t="e">
        <f t="shared" si="6"/>
        <v>#VALUE!</v>
      </c>
      <c r="V31" s="326" t="e">
        <f t="shared" si="7"/>
        <v>#VALUE!</v>
      </c>
      <c r="W31" s="326" t="e">
        <f t="shared" si="8"/>
        <v>#VALUE!</v>
      </c>
      <c r="X31" s="73" t="e">
        <f t="shared" si="9"/>
        <v>#VALUE!</v>
      </c>
      <c r="Y31" s="326" t="e">
        <f t="shared" si="10"/>
        <v>#VALUE!</v>
      </c>
      <c r="Z31" s="326">
        <f t="shared" si="11"/>
        <v>0</v>
      </c>
      <c r="AA31" s="71"/>
      <c r="AB31" s="71"/>
      <c r="AC31" s="22"/>
      <c r="AD31" s="22"/>
      <c r="AE31" s="22"/>
      <c r="AF31" s="22"/>
      <c r="AG31" s="22"/>
      <c r="AH31" s="22"/>
      <c r="AI31" s="22"/>
      <c r="AJ31" s="22"/>
      <c r="AK31" s="22"/>
      <c r="AL31" s="22"/>
      <c r="AM31" s="22"/>
      <c r="AN31" s="22"/>
      <c r="AO31" s="22"/>
      <c r="AP31" s="22"/>
      <c r="AQ31" s="22"/>
      <c r="AR31" s="22"/>
      <c r="AS31" s="22"/>
    </row>
    <row r="32" spans="1:45" ht="21" customHeight="1" x14ac:dyDescent="0.3">
      <c r="A32" s="22"/>
      <c r="B32" s="75"/>
      <c r="C32" s="242" t="str">
        <f>IF(INDEX(Status_Systeme,$A$2)=TRUE,"","C | FREIE EINGABE")</f>
        <v>C | FREIE EINGABE</v>
      </c>
      <c r="D32" s="188"/>
      <c r="E32" s="188"/>
      <c r="F32" s="188"/>
      <c r="G32" s="161"/>
      <c r="H32" s="161"/>
      <c r="I32" s="161"/>
      <c r="J32" s="188"/>
      <c r="K32" s="188"/>
      <c r="L32" s="188"/>
      <c r="M32" s="76"/>
      <c r="N32" s="78"/>
      <c r="O32" s="30"/>
      <c r="P32" s="22"/>
      <c r="Q32" s="22"/>
      <c r="R32" s="71"/>
      <c r="S32" s="71"/>
      <c r="T32" s="71"/>
      <c r="U32" s="71"/>
      <c r="V32" s="71"/>
      <c r="W32" s="71"/>
      <c r="X32" s="71"/>
      <c r="Y32" s="71"/>
      <c r="Z32" s="71"/>
      <c r="AA32" s="71"/>
      <c r="AB32" s="71"/>
      <c r="AC32" s="22"/>
      <c r="AD32" s="22"/>
      <c r="AE32" s="22"/>
      <c r="AF32" s="22"/>
      <c r="AG32" s="22"/>
      <c r="AH32" s="22"/>
      <c r="AI32" s="22"/>
      <c r="AJ32" s="22"/>
      <c r="AK32" s="22"/>
      <c r="AL32" s="22"/>
      <c r="AM32" s="22"/>
      <c r="AN32" s="22"/>
      <c r="AO32" s="22"/>
      <c r="AP32" s="22"/>
      <c r="AQ32" s="22"/>
      <c r="AR32" s="22"/>
      <c r="AS32" s="22"/>
    </row>
    <row r="33" spans="1:45" x14ac:dyDescent="0.3">
      <c r="A33" s="22"/>
      <c r="B33" s="184" t="str">
        <f>IF(O33="","","!")</f>
        <v/>
      </c>
      <c r="C33" s="422"/>
      <c r="D33" s="422"/>
      <c r="E33" s="422"/>
      <c r="F33" s="422"/>
      <c r="G33" s="406"/>
      <c r="H33" s="406"/>
      <c r="I33" s="406"/>
      <c r="J33" s="191"/>
      <c r="K33" s="405" t="str">
        <f t="shared" ref="K33" si="15">IF(OR(C33="",G33="",J33=""),"",Z33+W33-Y33)</f>
        <v/>
      </c>
      <c r="L33" s="405"/>
      <c r="M33" s="76"/>
      <c r="N33" s="178" t="str">
        <f>IF(O33="","","ï")</f>
        <v/>
      </c>
      <c r="O33" s="221" t="str">
        <f>IF(AND(INDEX(Status_Systeme,$A$2)=TRUE,S33&gt;0),TBS_Fehler_3,IF(OR(S33=0,S33=3),"",TBS_Fehler_2))</f>
        <v/>
      </c>
      <c r="P33" s="22"/>
      <c r="Q33" s="22"/>
      <c r="R33" s="71"/>
      <c r="S33" s="72">
        <f>COUNTA(C33,G33,J33)</f>
        <v>0</v>
      </c>
      <c r="T33" s="72" t="e">
        <f>IF((Basis_Betrachtungszeitraum/J33)&lt;=1,0,IF((Basis_Betrachtungszeitraum/J33)&lt;=2,1,2))</f>
        <v>#DIV/0!</v>
      </c>
      <c r="U33" s="326" t="e">
        <f>IF(T33&lt;1,0,G33*IF($A$2=1,1,(1-Basis_Foerderung))*(1+Basis_Preisentwicklung_Produkte)^J33)</f>
        <v>#DIV/0!</v>
      </c>
      <c r="V33" s="326" t="e">
        <f>IF(T33&gt;1,G33*IF($A$2=1,1,(1-Basis_Foerderung))*(1+Basis_Preisentwicklung_Produkte)^(2*J33),0)</f>
        <v>#DIV/0!</v>
      </c>
      <c r="W33" s="326" t="e">
        <f>U33*(1/(1+Basis_Realzins))^J33+V33*(1/(1+Basis_Realzins))^(2*J33)</f>
        <v>#DIV/0!</v>
      </c>
      <c r="X33" s="73" t="e">
        <f>IF((INT(Basis_Betrachtungszeitraum/J33)=Basis_Betrachtungszeitraum/J33),1,(J33*(T33+1)-Basis_Betrachtungszeitraum)/J33)</f>
        <v>#DIV/0!</v>
      </c>
      <c r="Y33" s="326" t="e">
        <f>IF(X33=1,0,IF(T33=0,G33*IF($A$2=1,1,(1-Basis_Foerderung)),INDEX(U33:V33,1,T33))*Basis_Diskontsatz*X33)</f>
        <v>#DIV/0!</v>
      </c>
      <c r="Z33" s="326">
        <f>G33*IF($A$2=1,1,(1-Basis_Foerderung))</f>
        <v>0</v>
      </c>
      <c r="AA33" s="71"/>
      <c r="AB33" s="71"/>
      <c r="AC33" s="22"/>
      <c r="AD33" s="22"/>
      <c r="AE33" s="22"/>
      <c r="AF33" s="22"/>
      <c r="AG33" s="22"/>
      <c r="AH33" s="22"/>
      <c r="AI33" s="22"/>
      <c r="AJ33" s="22"/>
      <c r="AK33" s="22"/>
      <c r="AL33" s="22"/>
      <c r="AM33" s="22"/>
      <c r="AN33" s="22"/>
      <c r="AO33" s="22"/>
      <c r="AP33" s="22"/>
      <c r="AQ33" s="22"/>
      <c r="AR33" s="22"/>
      <c r="AS33" s="22"/>
    </row>
    <row r="34" spans="1:45" x14ac:dyDescent="0.3">
      <c r="A34" s="22"/>
      <c r="B34" s="184" t="str">
        <f>IF(O34="","","!")</f>
        <v/>
      </c>
      <c r="C34" s="423"/>
      <c r="D34" s="423"/>
      <c r="E34" s="423"/>
      <c r="F34" s="423"/>
      <c r="G34" s="406"/>
      <c r="H34" s="406"/>
      <c r="I34" s="406"/>
      <c r="J34" s="192"/>
      <c r="K34" s="405" t="str">
        <f t="shared" ref="K34:K35" si="16">IF(OR(C34="",G34="",J34=""),"",Z34+W34-Y34)</f>
        <v/>
      </c>
      <c r="L34" s="405"/>
      <c r="M34" s="76"/>
      <c r="N34" s="178" t="str">
        <f>IF(O34="","","ï")</f>
        <v/>
      </c>
      <c r="O34" s="221" t="str">
        <f>IF(AND(INDEX(Status_Systeme,$A$2)=TRUE,S34&gt;0),TBS_Fehler_3,IF(OR(S34=0,S34=3),"",TBS_Fehler_2))</f>
        <v/>
      </c>
      <c r="P34" s="22"/>
      <c r="Q34" s="22"/>
      <c r="R34" s="71"/>
      <c r="S34" s="72">
        <f>COUNTA(C34,G34,J34)</f>
        <v>0</v>
      </c>
      <c r="T34" s="72" t="e">
        <f>IF((Basis_Betrachtungszeitraum/J34)&lt;=1,0,IF((Basis_Betrachtungszeitraum/J34)&lt;=2,1,2))</f>
        <v>#DIV/0!</v>
      </c>
      <c r="U34" s="326" t="e">
        <f>IF(T34&lt;1,0,G34*IF($A$2=1,1,(1-Basis_Foerderung))*(1+Basis_Preisentwicklung_Produkte)^J34)</f>
        <v>#DIV/0!</v>
      </c>
      <c r="V34" s="326" t="e">
        <f>IF(T34&gt;1,G34*IF($A$2=1,1,(1-Basis_Foerderung))*(1+Basis_Preisentwicklung_Produkte)^(2*J34),0)</f>
        <v>#DIV/0!</v>
      </c>
      <c r="W34" s="326" t="e">
        <f>U34*(1/(1+Basis_Realzins))^J34+V34*(1/(1+Basis_Realzins))^(2*J34)</f>
        <v>#DIV/0!</v>
      </c>
      <c r="X34" s="73" t="e">
        <f>IF((INT(Basis_Betrachtungszeitraum/J34)=Basis_Betrachtungszeitraum/J34),1,(J34*(T34+1)-Basis_Betrachtungszeitraum)/J34)</f>
        <v>#DIV/0!</v>
      </c>
      <c r="Y34" s="326" t="e">
        <f>IF(X34=1,0,IF(T34=0,G34*IF($A$2=1,1,(1-Basis_Foerderung)),INDEX(U34:V34,1,T34))*Basis_Diskontsatz*X34)</f>
        <v>#DIV/0!</v>
      </c>
      <c r="Z34" s="326">
        <f>G34*IF($A$2=1,1,(1-Basis_Foerderung))</f>
        <v>0</v>
      </c>
      <c r="AA34" s="71"/>
      <c r="AB34" s="71"/>
      <c r="AC34" s="22"/>
      <c r="AD34" s="22"/>
      <c r="AE34" s="22"/>
      <c r="AF34" s="22"/>
      <c r="AG34" s="22"/>
      <c r="AH34" s="22"/>
      <c r="AI34" s="22"/>
      <c r="AJ34" s="22"/>
      <c r="AK34" s="22"/>
      <c r="AL34" s="22"/>
      <c r="AM34" s="22"/>
      <c r="AN34" s="22"/>
      <c r="AO34" s="22"/>
      <c r="AP34" s="22"/>
      <c r="AQ34" s="22"/>
      <c r="AR34" s="22"/>
      <c r="AS34" s="22"/>
    </row>
    <row r="35" spans="1:45" x14ac:dyDescent="0.3">
      <c r="A35" s="22"/>
      <c r="B35" s="184" t="str">
        <f>IF(O35="","","!")</f>
        <v/>
      </c>
      <c r="C35" s="423"/>
      <c r="D35" s="423"/>
      <c r="E35" s="423"/>
      <c r="F35" s="423"/>
      <c r="G35" s="406"/>
      <c r="H35" s="406"/>
      <c r="I35" s="406"/>
      <c r="J35" s="192"/>
      <c r="K35" s="405" t="str">
        <f t="shared" si="16"/>
        <v/>
      </c>
      <c r="L35" s="405"/>
      <c r="M35" s="76"/>
      <c r="N35" s="178" t="str">
        <f>IF(O35="","","ï")</f>
        <v/>
      </c>
      <c r="O35" s="221" t="str">
        <f>IF(AND(INDEX(Status_Systeme,$A$2)=TRUE,S35&gt;0),TBS_Fehler_3,IF(OR(S35=0,S35=3),"",TBS_Fehler_2))</f>
        <v/>
      </c>
      <c r="P35" s="22"/>
      <c r="Q35" s="22"/>
      <c r="R35" s="71"/>
      <c r="S35" s="72">
        <f>COUNTA(C35,G35,J35)</f>
        <v>0</v>
      </c>
      <c r="T35" s="72" t="e">
        <f>IF((Basis_Betrachtungszeitraum/J35)&lt;=1,0,IF((Basis_Betrachtungszeitraum/J35)&lt;=2,1,2))</f>
        <v>#DIV/0!</v>
      </c>
      <c r="U35" s="326" t="e">
        <f>IF(T35&lt;1,0,G35*IF($A$2=1,1,(1-Basis_Foerderung))*(1+Basis_Preisentwicklung_Produkte)^J35)</f>
        <v>#DIV/0!</v>
      </c>
      <c r="V35" s="326" t="e">
        <f>IF(T35&gt;1,G35*IF($A$2=1,1,(1-Basis_Foerderung))*(1+Basis_Preisentwicklung_Produkte)^(2*J35),0)</f>
        <v>#DIV/0!</v>
      </c>
      <c r="W35" s="326" t="e">
        <f>U35*(1/(1+Basis_Realzins))^J35+V35*(1/(1+Basis_Realzins))^(2*J35)</f>
        <v>#DIV/0!</v>
      </c>
      <c r="X35" s="73" t="e">
        <f>IF((INT(Basis_Betrachtungszeitraum/J35)=Basis_Betrachtungszeitraum/J35),1,(J35*(T35+1)-Basis_Betrachtungszeitraum)/J35)</f>
        <v>#DIV/0!</v>
      </c>
      <c r="Y35" s="326" t="e">
        <f>IF(X35=1,0,IF(T35=0,G35*IF($A$2=1,1,(1-Basis_Foerderung)),INDEX(U35:V35,1,T35))*Basis_Diskontsatz*X35)</f>
        <v>#DIV/0!</v>
      </c>
      <c r="Z35" s="326">
        <f>G35*IF($A$2=1,1,(1-Basis_Foerderung))</f>
        <v>0</v>
      </c>
      <c r="AA35" s="71"/>
      <c r="AB35" s="71"/>
      <c r="AC35" s="22"/>
      <c r="AD35" s="22"/>
      <c r="AE35" s="22"/>
      <c r="AF35" s="22"/>
      <c r="AG35" s="22"/>
      <c r="AH35" s="22"/>
      <c r="AI35" s="22"/>
      <c r="AJ35" s="22"/>
      <c r="AK35" s="22"/>
      <c r="AL35" s="22"/>
      <c r="AM35" s="22"/>
      <c r="AN35" s="22"/>
      <c r="AO35" s="22"/>
      <c r="AP35" s="22"/>
      <c r="AQ35" s="22"/>
      <c r="AR35" s="22"/>
      <c r="AS35" s="22"/>
    </row>
    <row r="36" spans="1:45" ht="21" customHeight="1" x14ac:dyDescent="0.3">
      <c r="A36" s="22"/>
      <c r="B36" s="75"/>
      <c r="C36" s="242" t="str">
        <f>IF(INDEX(Status_Systeme,$A$2)=TRUE,"","D | SUMME")</f>
        <v>D | SUMME</v>
      </c>
      <c r="D36" s="188"/>
      <c r="E36" s="188"/>
      <c r="F36" s="188"/>
      <c r="G36" s="161"/>
      <c r="H36" s="161"/>
      <c r="I36" s="161"/>
      <c r="J36" s="188"/>
      <c r="K36" s="412" t="str">
        <f>IF(INDEX(Status_Systeme,$A$2)=TRUE,"",IF(SUM(K20:L35)=0,"",SUM(K20:L35)))</f>
        <v/>
      </c>
      <c r="L36" s="413"/>
      <c r="M36" s="76"/>
      <c r="N36" s="78"/>
      <c r="O36" s="30"/>
      <c r="P36" s="22"/>
      <c r="Q36" s="22"/>
      <c r="R36" s="71"/>
      <c r="S36" s="71"/>
      <c r="T36" s="71"/>
      <c r="U36" s="71"/>
      <c r="V36" s="71"/>
      <c r="W36" s="71"/>
      <c r="X36" s="71"/>
      <c r="Y36" s="71"/>
      <c r="Z36" s="71"/>
      <c r="AA36" s="71"/>
      <c r="AB36" s="71"/>
      <c r="AC36" s="22"/>
      <c r="AD36" s="22"/>
      <c r="AE36" s="22"/>
      <c r="AF36" s="22"/>
      <c r="AG36" s="22"/>
      <c r="AH36" s="22"/>
      <c r="AI36" s="22"/>
      <c r="AJ36" s="22"/>
      <c r="AK36" s="22"/>
      <c r="AL36" s="22"/>
      <c r="AM36" s="22"/>
      <c r="AN36" s="22"/>
      <c r="AO36" s="22"/>
      <c r="AP36" s="22"/>
      <c r="AQ36" s="22"/>
      <c r="AR36" s="22"/>
      <c r="AS36" s="22"/>
    </row>
    <row r="37" spans="1:45" ht="30" customHeight="1" x14ac:dyDescent="0.3">
      <c r="A37" s="22"/>
      <c r="B37" s="75"/>
      <c r="C37" s="424"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24"/>
      <c r="E37" s="424"/>
      <c r="F37" s="424"/>
      <c r="G37" s="424"/>
      <c r="H37" s="424"/>
      <c r="I37" s="424"/>
      <c r="J37" s="424"/>
      <c r="K37" s="424"/>
      <c r="L37" s="424"/>
      <c r="M37" s="76"/>
      <c r="N37" s="78"/>
      <c r="O37" s="30"/>
      <c r="P37" s="22"/>
      <c r="Q37" s="22"/>
      <c r="R37" s="71"/>
      <c r="S37" s="71"/>
      <c r="T37" s="71"/>
      <c r="U37" s="71"/>
      <c r="V37" s="71"/>
      <c r="W37" s="71"/>
      <c r="X37" s="71"/>
      <c r="Y37" s="71"/>
      <c r="Z37" s="71"/>
      <c r="AA37" s="71"/>
      <c r="AB37" s="71"/>
      <c r="AC37" s="22"/>
      <c r="AD37" s="22"/>
      <c r="AE37" s="22"/>
      <c r="AF37" s="22"/>
      <c r="AG37" s="22"/>
      <c r="AH37" s="22"/>
      <c r="AI37" s="22"/>
      <c r="AJ37" s="22"/>
      <c r="AK37" s="22"/>
      <c r="AL37" s="22"/>
      <c r="AM37" s="22"/>
      <c r="AN37" s="22"/>
      <c r="AO37" s="22"/>
      <c r="AP37" s="22"/>
      <c r="AQ37" s="22"/>
      <c r="AR37" s="22"/>
      <c r="AS37" s="22"/>
    </row>
    <row r="38" spans="1:45" ht="16.5" customHeight="1" x14ac:dyDescent="0.3">
      <c r="A38" s="22"/>
      <c r="B38" s="75"/>
      <c r="C38" s="415" t="str">
        <f>IF(INDEX(Status_Systeme,$A$2)=TRUE,"",$A$2&amp;".3 "&amp;UPPER(INDEX(Auswahl!$P$2:$P$6,3)))</f>
        <v>2.3 BETRIEBSKOSTEN</v>
      </c>
      <c r="D38" s="415"/>
      <c r="E38" s="415"/>
      <c r="F38" s="415"/>
      <c r="G38" s="160"/>
      <c r="H38" s="160"/>
      <c r="I38" s="160"/>
      <c r="J38" s="410" t="str">
        <f>IF(INDEX(Status_Systeme,$A$2)=TRUE,"","laufende Kosten"&amp;IF(C41="","","²")&amp;" [€/a]")</f>
        <v>laufende Kosten [€/a]</v>
      </c>
      <c r="K38" s="408" t="str">
        <f>IF(INDEX(Status_Systeme,$A$2)=TRUE,"","Gesamtkosten"&amp;CHAR(2)&amp;CHAR(10)&amp;"nach "&amp;Basis_Betrachtungszeitraum&amp;"a [€]"&amp;CHAR(2))</f>
        <v>Gesamtkosten_x0002_
nach 20a [€]_x0002_</v>
      </c>
      <c r="L38" s="408"/>
      <c r="M38" s="76"/>
      <c r="N38" s="78"/>
      <c r="O38" s="30"/>
      <c r="P38" s="22"/>
      <c r="Q38" s="22"/>
      <c r="R38" s="71"/>
      <c r="S38" s="71"/>
      <c r="T38" s="71"/>
      <c r="U38" s="128"/>
      <c r="V38" s="128"/>
      <c r="W38" s="71"/>
      <c r="X38" s="71"/>
      <c r="Y38" s="71"/>
      <c r="Z38" s="71"/>
      <c r="AA38" s="71"/>
      <c r="AB38" s="71"/>
      <c r="AC38" s="22"/>
      <c r="AD38" s="22"/>
      <c r="AE38" s="22"/>
      <c r="AF38" s="22"/>
      <c r="AG38" s="22"/>
      <c r="AH38" s="22"/>
      <c r="AI38" s="22"/>
      <c r="AJ38" s="22"/>
      <c r="AK38" s="22"/>
      <c r="AL38" s="22"/>
      <c r="AM38" s="22"/>
      <c r="AN38" s="22"/>
      <c r="AO38" s="22"/>
      <c r="AP38" s="22"/>
      <c r="AQ38" s="22"/>
      <c r="AR38" s="22"/>
      <c r="AS38" s="22"/>
    </row>
    <row r="39" spans="1:45" ht="21" customHeight="1" x14ac:dyDescent="0.3">
      <c r="A39" s="22"/>
      <c r="B39" s="75"/>
      <c r="C39" s="416"/>
      <c r="D39" s="416"/>
      <c r="E39" s="416"/>
      <c r="F39" s="416"/>
      <c r="G39" s="417"/>
      <c r="H39" s="417"/>
      <c r="I39" s="417"/>
      <c r="J39" s="411"/>
      <c r="K39" s="409"/>
      <c r="L39" s="409"/>
      <c r="M39" s="76"/>
      <c r="N39" s="78"/>
      <c r="O39" s="30"/>
      <c r="P39" s="22"/>
      <c r="Q39" s="22"/>
      <c r="R39" s="71"/>
      <c r="S39" s="71"/>
      <c r="T39" s="71"/>
      <c r="U39" s="128"/>
      <c r="V39" s="128"/>
      <c r="W39" s="71"/>
      <c r="X39" s="71"/>
      <c r="Y39" s="71"/>
      <c r="Z39" s="71"/>
      <c r="AA39" s="71"/>
      <c r="AB39" s="71"/>
      <c r="AC39" s="22"/>
      <c r="AD39" s="22"/>
      <c r="AE39" s="22"/>
      <c r="AF39" s="22"/>
      <c r="AG39" s="22"/>
      <c r="AH39" s="22"/>
      <c r="AI39" s="22"/>
      <c r="AJ39" s="22"/>
      <c r="AK39" s="22"/>
      <c r="AL39" s="22"/>
      <c r="AM39" s="22"/>
      <c r="AN39" s="22"/>
      <c r="AO39" s="22"/>
      <c r="AP39" s="22"/>
      <c r="AQ39" s="22"/>
      <c r="AR39" s="22"/>
      <c r="AS39" s="22"/>
    </row>
    <row r="40" spans="1:45" x14ac:dyDescent="0.3">
      <c r="A40" s="22"/>
      <c r="B40" s="75"/>
      <c r="C40" s="420" t="str">
        <f>IF(INDEX(Status_Systeme,$A$2)=TRUE,"","Wartung und Instandhaltung")</f>
        <v>Wartung und Instandhaltung</v>
      </c>
      <c r="D40" s="420"/>
      <c r="E40" s="420"/>
      <c r="F40" s="420"/>
      <c r="G40" s="421"/>
      <c r="H40" s="421"/>
      <c r="I40" s="421"/>
      <c r="J40" s="256" t="str">
        <f>IF(INDEX(Status_Systeme,$A$2)=TRUE,"",INDEX(Basis_BK_calc,$A$2))</f>
        <v>---</v>
      </c>
      <c r="K40" s="405" t="e">
        <f>IF(J40="","",J40*Basis_Barwertfaktor*Basis_Barwertfaktor_Instandhaltung)</f>
        <v>#VALUE!</v>
      </c>
      <c r="L40" s="405"/>
      <c r="M40" s="76"/>
      <c r="N40" s="78"/>
      <c r="O40" s="30"/>
      <c r="P40" s="55"/>
      <c r="Q40" s="55"/>
      <c r="R40" s="71"/>
      <c r="S40" s="106"/>
      <c r="T40" s="71"/>
      <c r="U40" s="128"/>
      <c r="V40" s="128"/>
      <c r="W40" s="71"/>
      <c r="X40" s="71"/>
      <c r="Y40" s="71"/>
      <c r="Z40" s="71"/>
      <c r="AA40" s="71"/>
      <c r="AB40" s="71"/>
      <c r="AC40" s="22"/>
      <c r="AD40" s="22"/>
      <c r="AE40" s="22"/>
      <c r="AF40" s="22"/>
      <c r="AG40" s="22"/>
      <c r="AH40" s="22"/>
      <c r="AI40" s="22"/>
      <c r="AJ40" s="22"/>
      <c r="AK40" s="22"/>
      <c r="AL40" s="22"/>
      <c r="AM40" s="22"/>
      <c r="AN40" s="22"/>
      <c r="AO40" s="22"/>
      <c r="AP40" s="22"/>
      <c r="AQ40" s="22"/>
      <c r="AR40" s="22"/>
      <c r="AS40" s="22"/>
    </row>
    <row r="41" spans="1:45" x14ac:dyDescent="0.3">
      <c r="A41" s="22"/>
      <c r="C41" s="224" t="str">
        <f>IF(INDEX(Status_Systeme,$A$2)=TRUE,"",IF(EA_BGF&gt;=3000,"² Betriebskosten lt. CostOpt 2019, Änderung in Registerblatt "&amp;Auswahl!G10&amp;" | "&amp;Auswahl!H10&amp;" möglich.",""))</f>
        <v/>
      </c>
      <c r="D41" s="53"/>
      <c r="E41" s="53"/>
      <c r="F41" s="53"/>
      <c r="G41" s="53"/>
      <c r="H41" s="53"/>
      <c r="I41" s="53"/>
      <c r="J41" s="53"/>
      <c r="K41" s="53"/>
      <c r="L41" s="50"/>
      <c r="M41" s="76"/>
      <c r="N41" s="78"/>
      <c r="O41" s="30"/>
      <c r="P41" s="24"/>
      <c r="Q41" s="24"/>
      <c r="R41" s="71"/>
      <c r="S41" s="71"/>
      <c r="T41" s="71"/>
      <c r="U41" s="128"/>
      <c r="V41" s="128"/>
      <c r="W41" s="71"/>
      <c r="X41" s="71"/>
      <c r="Y41" s="71"/>
      <c r="Z41" s="71"/>
      <c r="AA41" s="71"/>
      <c r="AB41" s="71"/>
      <c r="AC41" s="22"/>
      <c r="AD41" s="22"/>
      <c r="AE41" s="22"/>
      <c r="AF41" s="22"/>
      <c r="AG41" s="22"/>
      <c r="AH41" s="22"/>
      <c r="AI41" s="22"/>
      <c r="AJ41" s="22"/>
      <c r="AK41" s="22"/>
      <c r="AL41" s="22"/>
      <c r="AM41" s="22"/>
      <c r="AN41" s="22"/>
      <c r="AO41" s="22"/>
      <c r="AP41" s="22"/>
      <c r="AQ41" s="22"/>
      <c r="AR41" s="22"/>
      <c r="AS41" s="22"/>
    </row>
    <row r="42" spans="1:45" ht="7.5" customHeight="1" x14ac:dyDescent="0.3">
      <c r="A42" s="22"/>
      <c r="C42" s="52"/>
      <c r="D42" s="53"/>
      <c r="E42" s="53"/>
      <c r="F42" s="53"/>
      <c r="G42" s="53"/>
      <c r="H42" s="53"/>
      <c r="I42" s="53"/>
      <c r="J42" s="53"/>
      <c r="K42" s="53"/>
      <c r="L42" s="50"/>
      <c r="M42" s="76"/>
      <c r="N42" s="78"/>
      <c r="O42" s="30"/>
      <c r="P42" s="24"/>
      <c r="Q42" s="24"/>
      <c r="R42" s="71"/>
      <c r="S42" s="71"/>
      <c r="T42" s="71"/>
      <c r="U42" s="128"/>
      <c r="V42" s="128"/>
      <c r="W42" s="71"/>
      <c r="X42" s="71"/>
      <c r="Y42" s="71"/>
      <c r="Z42" s="71"/>
      <c r="AA42" s="71"/>
      <c r="AB42" s="71"/>
      <c r="AC42" s="22"/>
      <c r="AD42" s="22"/>
      <c r="AE42" s="22"/>
      <c r="AF42" s="22"/>
      <c r="AG42" s="22"/>
      <c r="AH42" s="22"/>
      <c r="AI42" s="22"/>
      <c r="AJ42" s="22"/>
      <c r="AK42" s="22"/>
      <c r="AL42" s="22"/>
      <c r="AM42" s="22"/>
      <c r="AN42" s="22"/>
      <c r="AO42" s="22"/>
      <c r="AP42" s="22"/>
      <c r="AQ42" s="22"/>
      <c r="AR42" s="22"/>
      <c r="AS42" s="22"/>
    </row>
    <row r="43" spans="1:45" ht="37.5" customHeight="1" x14ac:dyDescent="0.3">
      <c r="A43" s="22"/>
      <c r="B43" s="75"/>
      <c r="C43" s="416" t="str">
        <f>IF(INDEX(Status_Systeme,$A$2)=TRUE,"",$A$2&amp;".4 "&amp;UPPER(INDEX(Auswahl!$P$2:$P$6,4)))</f>
        <v>2.4 ENERGIEKOSTEN</v>
      </c>
      <c r="D43" s="416"/>
      <c r="E43" s="416"/>
      <c r="F43" s="416"/>
      <c r="G43" s="411" t="str">
        <f>IF(INDEX(Status_Systeme,$A$2)=TRUE,"","Energiebedarf"&amp;CHAR(10)&amp;"[kWh/a]")</f>
        <v>Energiebedarf
[kWh/a]</v>
      </c>
      <c r="H43" s="411"/>
      <c r="I43" s="411"/>
      <c r="J43" s="67" t="str">
        <f>IF(INDEX(Status_Systeme,$A$2)=TRUE,"","Energiepreis"&amp;IF(C46="","",IF(C41="","²","³"))&amp;CHAR(10)&amp;"[€/kWh]")</f>
        <v>Energiepreis²
[€/kWh]</v>
      </c>
      <c r="K43" s="409" t="str">
        <f>IF(INDEX(Status_Systeme,$A$2)=TRUE,"","Gesamtkosten"&amp;CHAR(2)&amp;CHAR(10)&amp;"nach "&amp;Basis_Betrachtungszeitraum&amp;"a [€]"&amp;CHAR(2))</f>
        <v>Gesamtkosten_x0002_
nach 20a [€]_x0002_</v>
      </c>
      <c r="L43" s="409"/>
      <c r="M43" s="76"/>
      <c r="N43" s="78"/>
      <c r="O43" s="30"/>
      <c r="P43" s="22"/>
      <c r="Q43" s="22"/>
      <c r="R43" s="71"/>
      <c r="S43" s="70" t="s">
        <v>180</v>
      </c>
      <c r="T43" s="70" t="s">
        <v>160</v>
      </c>
      <c r="U43" s="70" t="s">
        <v>161</v>
      </c>
      <c r="V43" s="70" t="s">
        <v>162</v>
      </c>
      <c r="W43" s="71"/>
      <c r="X43" s="71"/>
      <c r="Y43" s="71"/>
      <c r="Z43" s="71"/>
      <c r="AA43" s="71"/>
      <c r="AB43" s="71"/>
      <c r="AC43" s="22"/>
      <c r="AD43" s="22"/>
      <c r="AE43" s="22"/>
      <c r="AF43" s="22"/>
      <c r="AG43" s="22"/>
      <c r="AH43" s="22"/>
      <c r="AI43" s="22"/>
      <c r="AJ43" s="22"/>
      <c r="AK43" s="22"/>
      <c r="AL43" s="22"/>
      <c r="AM43" s="22"/>
      <c r="AN43" s="22"/>
      <c r="AO43" s="22"/>
      <c r="AP43" s="22"/>
      <c r="AQ43" s="22"/>
      <c r="AR43" s="22"/>
      <c r="AS43" s="22"/>
    </row>
    <row r="44" spans="1:45" x14ac:dyDescent="0.3">
      <c r="A44" s="22"/>
      <c r="B44" s="75"/>
      <c r="C44" s="81" t="str">
        <f>IF(INDEX(Status_Systeme,$A$2)=TRUE,"","A | RAUMWÄRME")</f>
        <v>A | RAUMWÄRME</v>
      </c>
      <c r="D44" s="414" t="str">
        <f>IF(INDEX(Status_Systeme,$A$2)=TRUE,"",VLOOKUP(Auswahl!$H$5,Tabelle_Betriebskosten,2,FALSE))</f>
        <v>Pellets</v>
      </c>
      <c r="E44" s="414"/>
      <c r="F44" s="414"/>
      <c r="G44" s="418">
        <f>IF(INDEX(Status_Systeme,$A$2)=TRUE,"",EA_QhSK_calc*INDEX(EA_EAWZ_RH_calc,$A$2))</f>
        <v>0</v>
      </c>
      <c r="H44" s="418"/>
      <c r="I44" s="418"/>
      <c r="J44" s="59">
        <f>IF(OR(D44="",G44=""),"",VLOOKUP(D44,Tabelle_Energie,8,FALSE))</f>
        <v>4.2477876106194697E-2</v>
      </c>
      <c r="K44" s="419">
        <f>IF(J44="","",J44*G44*V44)</f>
        <v>0</v>
      </c>
      <c r="L44" s="419"/>
      <c r="M44" s="76"/>
      <c r="N44" s="78"/>
      <c r="O44" s="30"/>
      <c r="P44" s="55"/>
      <c r="Q44" s="55"/>
      <c r="R44" s="71"/>
      <c r="S44" s="72" t="b">
        <f>VLOOKUP(D44,Tabelle_Energie,6,FALSE)=VLOOKUP(D44,Tabelle_Energie,7,FALSE)</f>
        <v>0</v>
      </c>
      <c r="T44" s="105">
        <f>VLOOKUP(D44,Tabelle_Energie,5,FALSE)</f>
        <v>2.1000000000000001E-2</v>
      </c>
      <c r="U44" s="103">
        <f>(1-((1+T44)/(1+Basis_Marktzins))^Basis_Betrachtungszeitraum)/(1-((1+Basis_Inflation)/(1+Basis_Marktzins))^Basis_Betrachtungszeitraum)*((Basis_Marktzins-Basis_Inflation)/(1+Basis_Inflation))/((Basis_Marktzins-T44)/(1+T44))</f>
        <v>1.009648680269104</v>
      </c>
      <c r="V44" s="103">
        <f>Basis_Barwertfaktor*U44</f>
        <v>16.216240875507616</v>
      </c>
      <c r="W44" s="71"/>
      <c r="X44" s="71"/>
      <c r="Y44" s="71"/>
      <c r="Z44" s="71"/>
      <c r="AA44" s="71"/>
      <c r="AB44" s="71"/>
      <c r="AC44" s="22"/>
      <c r="AD44" s="22"/>
      <c r="AE44" s="22"/>
      <c r="AF44" s="22"/>
      <c r="AG44" s="22"/>
      <c r="AH44" s="22"/>
      <c r="AI44" s="22"/>
      <c r="AJ44" s="22"/>
      <c r="AK44" s="22"/>
      <c r="AL44" s="22"/>
      <c r="AM44" s="22"/>
      <c r="AN44" s="22"/>
      <c r="AO44" s="22"/>
      <c r="AP44" s="22"/>
      <c r="AQ44" s="22"/>
      <c r="AR44" s="22"/>
      <c r="AS44" s="22"/>
    </row>
    <row r="45" spans="1:45" x14ac:dyDescent="0.3">
      <c r="A45" s="22"/>
      <c r="B45" s="75"/>
      <c r="C45" s="81" t="str">
        <f>IF(INDEX(Status_Systeme,$A$2)=TRUE,"","B | WARMWASSER")</f>
        <v>B | WARMWASSER</v>
      </c>
      <c r="D45" s="414" t="str">
        <f>IF(INDEX(Status_Systeme,$A$2)=TRUE,"",IF(Basis_WW_dezentral=FALSE,D44,INDEX(Tabelle_Energie,8,1)))</f>
        <v>Pellets</v>
      </c>
      <c r="E45" s="414"/>
      <c r="F45" s="414"/>
      <c r="G45" s="418">
        <f>IF(INDEX(Status_Systeme,$A$2)=TRUE,"",EA_Qtw_calc*INDEX(EA_EAWZ_WW_calc,$A$2))</f>
        <v>0</v>
      </c>
      <c r="H45" s="418"/>
      <c r="I45" s="418"/>
      <c r="J45" s="59">
        <f>IF(OR(D45="",G45=""),"",VLOOKUP(D45,Tabelle_Energie,8,FALSE))</f>
        <v>4.2477876106194697E-2</v>
      </c>
      <c r="K45" s="419">
        <f>IF(J45="","",J45*G45*V45)</f>
        <v>0</v>
      </c>
      <c r="L45" s="419"/>
      <c r="M45" s="76"/>
      <c r="N45" s="78"/>
      <c r="O45" s="30"/>
      <c r="P45" s="55"/>
      <c r="Q45" s="55"/>
      <c r="R45" s="71"/>
      <c r="S45" s="72" t="b">
        <f>VLOOKUP(D45,Tabelle_Energie,6,FALSE)=VLOOKUP(D45,Tabelle_Energie,7,FALSE)</f>
        <v>0</v>
      </c>
      <c r="T45" s="105">
        <f>VLOOKUP(D45,Tabelle_Energie,5,FALSE)</f>
        <v>2.1000000000000001E-2</v>
      </c>
      <c r="U45" s="103">
        <f>(1-((1+T45)/(1+Basis_Marktzins))^Basis_Betrachtungszeitraum)/(1-((1+Basis_Inflation)/(1+Basis_Marktzins))^Basis_Betrachtungszeitraum)*((Basis_Marktzins-Basis_Inflation)/(1+Basis_Inflation))/((Basis_Marktzins-T45)/(1+T45))</f>
        <v>1.009648680269104</v>
      </c>
      <c r="V45" s="103">
        <f>Basis_Barwertfaktor*U45</f>
        <v>16.216240875507616</v>
      </c>
      <c r="W45" s="71"/>
      <c r="X45" s="71"/>
      <c r="Y45" s="71"/>
      <c r="Z45" s="71"/>
      <c r="AA45" s="71"/>
      <c r="AB45" s="71"/>
      <c r="AC45" s="22"/>
      <c r="AD45" s="22"/>
      <c r="AE45" s="22"/>
      <c r="AF45" s="22"/>
      <c r="AG45" s="22"/>
      <c r="AH45" s="22"/>
      <c r="AI45" s="22"/>
      <c r="AJ45" s="22"/>
      <c r="AK45" s="22"/>
      <c r="AL45" s="22"/>
      <c r="AM45" s="22"/>
      <c r="AN45" s="22"/>
      <c r="AO45" s="22"/>
      <c r="AP45" s="22"/>
      <c r="AQ45" s="22"/>
      <c r="AR45" s="22"/>
      <c r="AS45" s="22"/>
    </row>
    <row r="46" spans="1:45" x14ac:dyDescent="0.3">
      <c r="A46" s="22"/>
      <c r="C46" s="224" t="str">
        <f>IF(INDEX(Status_Systeme,$A$2)=TRUE,"",IF(OR(EA_BGF&gt;=3000,EA_WG=FALSE),IF(C41="","²","³")&amp;" Energiekosten lt. CostOpt 2019, Änderung in Registerblatt "&amp;Auswahl!G10&amp;" | "&amp;Auswahl!H10&amp;" möglich.",""))</f>
        <v>² Energiekosten lt. CostOpt 2019, Änderung in Registerblatt 7 | Rahmenbedingungen möglich.</v>
      </c>
      <c r="D46" s="53"/>
      <c r="E46" s="53"/>
      <c r="F46" s="53"/>
      <c r="G46" s="53"/>
      <c r="H46" s="53"/>
      <c r="I46" s="53"/>
      <c r="J46" s="53"/>
      <c r="K46" s="53"/>
      <c r="L46" s="50"/>
      <c r="M46" s="76"/>
      <c r="N46" s="78"/>
      <c r="O46" s="30"/>
      <c r="P46" s="24"/>
      <c r="Q46" s="24"/>
      <c r="R46" s="71"/>
      <c r="S46" s="71"/>
      <c r="T46" s="71"/>
      <c r="U46" s="128"/>
      <c r="V46" s="128"/>
      <c r="W46" s="71"/>
      <c r="X46" s="71"/>
      <c r="Y46" s="71"/>
      <c r="Z46" s="71"/>
      <c r="AA46" s="71"/>
      <c r="AB46" s="71"/>
      <c r="AC46" s="22"/>
      <c r="AD46" s="22"/>
      <c r="AE46" s="22"/>
      <c r="AF46" s="22"/>
      <c r="AG46" s="22"/>
      <c r="AH46" s="22"/>
      <c r="AI46" s="22"/>
      <c r="AJ46" s="22"/>
      <c r="AK46" s="22"/>
      <c r="AL46" s="22"/>
      <c r="AM46" s="22"/>
      <c r="AN46" s="22"/>
      <c r="AO46" s="22"/>
      <c r="AP46" s="22"/>
      <c r="AQ46" s="22"/>
      <c r="AR46" s="22"/>
      <c r="AS46" s="22"/>
    </row>
    <row r="47" spans="1:45" ht="7.5" hidden="1" customHeight="1" x14ac:dyDescent="0.3">
      <c r="A47" s="190" t="s">
        <v>156</v>
      </c>
      <c r="C47" s="53"/>
      <c r="D47" s="53"/>
      <c r="E47" s="53"/>
      <c r="F47" s="53"/>
      <c r="G47" s="53"/>
      <c r="H47" s="53"/>
      <c r="I47" s="53"/>
      <c r="J47" s="53"/>
      <c r="K47" s="53"/>
      <c r="L47" s="50"/>
      <c r="M47" s="76"/>
      <c r="N47" s="78"/>
      <c r="O47" s="30"/>
      <c r="P47" s="24"/>
      <c r="Q47" s="24"/>
      <c r="R47" s="71"/>
      <c r="S47" s="71"/>
      <c r="T47" s="71"/>
      <c r="U47" s="128"/>
      <c r="V47" s="128"/>
      <c r="W47" s="71"/>
      <c r="X47" s="71"/>
      <c r="Y47" s="71"/>
      <c r="Z47" s="71"/>
      <c r="AA47" s="71"/>
      <c r="AB47" s="71"/>
      <c r="AC47" s="22"/>
      <c r="AD47" s="22"/>
      <c r="AE47" s="22"/>
      <c r="AF47" s="22"/>
      <c r="AG47" s="22"/>
      <c r="AH47" s="22"/>
      <c r="AI47" s="22"/>
      <c r="AJ47" s="22"/>
      <c r="AK47" s="22"/>
      <c r="AL47" s="22"/>
      <c r="AM47" s="22"/>
      <c r="AN47" s="22"/>
      <c r="AO47" s="22"/>
      <c r="AP47" s="22"/>
      <c r="AQ47" s="22"/>
      <c r="AR47" s="22"/>
      <c r="AS47" s="22"/>
    </row>
    <row r="48" spans="1:45" ht="37.5" hidden="1" customHeight="1" x14ac:dyDescent="0.3">
      <c r="A48" s="190" t="s">
        <v>156</v>
      </c>
      <c r="B48" s="75"/>
      <c r="C48" s="416" t="str">
        <f>IF(OR(INDEX(Status_Systeme,$A$2)=TRUE,EA_PV_Status=FALSE),"",$A$2&amp;".5 "&amp;UPPER(INDEX(Auswahl!$P$2:$P$6,5)))</f>
        <v/>
      </c>
      <c r="D48" s="416"/>
      <c r="E48" s="416"/>
      <c r="F48" s="416"/>
      <c r="G48" s="411" t="str">
        <f>IF(OR(INDEX(Status_Systeme,$A$2)=TRUE,EA_PV_Status=FALSE),"","Energiegewinn"&amp;CHAR(10)&amp;"[kWh/a]")</f>
        <v/>
      </c>
      <c r="H48" s="411"/>
      <c r="I48" s="411"/>
      <c r="J48" s="67" t="str">
        <f>IF(OR(INDEX(Status_Systeme,$A$2)=TRUE,EA_PV_Status=FALSE),"","Energiepreis*"&amp;CHAR(10)&amp;"[€/kWh]")</f>
        <v/>
      </c>
      <c r="K48" s="409" t="str">
        <f>IF(OR(INDEX(Status_Systeme,$A$2)=TRUE,EA_PV_Status=FALSE),"","Gesamtkosten"&amp;CHAR(2)&amp;CHAR(10)&amp;"nach T [€]"&amp;CHAR(2))</f>
        <v/>
      </c>
      <c r="L48" s="409"/>
      <c r="M48" s="76"/>
      <c r="N48" s="78"/>
      <c r="O48" s="30"/>
      <c r="P48" s="22"/>
      <c r="Q48" s="22"/>
      <c r="R48" s="71"/>
      <c r="S48" s="70" t="s">
        <v>180</v>
      </c>
      <c r="T48" s="70" t="s">
        <v>160</v>
      </c>
      <c r="U48" s="70" t="s">
        <v>161</v>
      </c>
      <c r="V48" s="70" t="s">
        <v>162</v>
      </c>
      <c r="W48" s="71"/>
      <c r="X48" s="71"/>
      <c r="Y48" s="71"/>
      <c r="Z48" s="71"/>
      <c r="AA48" s="71"/>
      <c r="AB48" s="71"/>
      <c r="AC48" s="22"/>
      <c r="AD48" s="22"/>
      <c r="AE48" s="22"/>
      <c r="AF48" s="22"/>
      <c r="AG48" s="22"/>
      <c r="AH48" s="22"/>
      <c r="AI48" s="22"/>
      <c r="AJ48" s="22"/>
      <c r="AK48" s="22"/>
      <c r="AL48" s="22"/>
      <c r="AM48" s="22"/>
      <c r="AN48" s="22"/>
      <c r="AO48" s="22"/>
      <c r="AP48" s="22"/>
      <c r="AQ48" s="22"/>
      <c r="AR48" s="22"/>
      <c r="AS48" s="22"/>
    </row>
    <row r="49" spans="1:45" hidden="1" x14ac:dyDescent="0.3">
      <c r="A49" s="190" t="s">
        <v>156</v>
      </c>
      <c r="B49" s="75"/>
      <c r="C49" s="81" t="str">
        <f>IF(OR(INDEX(Status_Systeme,$A$2)=TRUE,EA_PV_Status=FALSE),"","A | EIGENVERBRAUCH")</f>
        <v/>
      </c>
      <c r="D49" s="414" t="str">
        <f>IF(OR(INDEX(Status_Systeme,$A$2)=TRUE,EA_PV_Status=FALSE),"",INDEX(Tabelle_Energie,8,1))</f>
        <v/>
      </c>
      <c r="E49" s="414"/>
      <c r="F49" s="414"/>
      <c r="G49" s="418"/>
      <c r="H49" s="418"/>
      <c r="I49" s="418"/>
      <c r="J49" s="59"/>
      <c r="K49" s="419"/>
      <c r="L49" s="419"/>
      <c r="M49" s="76"/>
      <c r="N49" s="78"/>
      <c r="O49" s="30"/>
      <c r="P49" s="55"/>
      <c r="Q49" s="55"/>
      <c r="R49" s="71"/>
      <c r="S49" s="72" t="e">
        <f>VLOOKUP(D49,Tabelle_Energie,6,FALSE)=VLOOKUP(D49,Tabelle_Energie,7,FALSE)</f>
        <v>#N/A</v>
      </c>
      <c r="T49" s="105" t="e">
        <f>VLOOKUP(D49,Tabelle_Energie,5,FALSE)</f>
        <v>#N/A</v>
      </c>
      <c r="U49" s="103" t="e">
        <f>(1-((1+T49)/(1+Basis_Marktzins))^Basis_Betrachtungszeitraum)/(1-((1+Basis_Inflation)/(1+Basis_Marktzins))^Basis_Betrachtungszeitraum)*((Basis_Marktzins-Basis_Inflation)/(1+Basis_Inflation))/((Basis_Marktzins-T49)/(1+T49))</f>
        <v>#N/A</v>
      </c>
      <c r="V49" s="103" t="e">
        <f>Basis_Barwertfaktor*U49</f>
        <v>#N/A</v>
      </c>
      <c r="W49" s="71"/>
      <c r="X49" s="71"/>
      <c r="Y49" s="71"/>
      <c r="Z49" s="71"/>
      <c r="AA49" s="71"/>
      <c r="AB49" s="71"/>
      <c r="AC49" s="22"/>
      <c r="AD49" s="22"/>
      <c r="AE49" s="22"/>
      <c r="AF49" s="22"/>
      <c r="AG49" s="22"/>
      <c r="AH49" s="22"/>
      <c r="AI49" s="22"/>
      <c r="AJ49" s="22"/>
      <c r="AK49" s="22"/>
      <c r="AL49" s="22"/>
      <c r="AM49" s="22"/>
      <c r="AN49" s="22"/>
      <c r="AO49" s="22"/>
      <c r="AP49" s="22"/>
      <c r="AQ49" s="22"/>
      <c r="AR49" s="22"/>
      <c r="AS49" s="22"/>
    </row>
    <row r="50" spans="1:45" hidden="1" x14ac:dyDescent="0.3">
      <c r="A50" s="190" t="s">
        <v>156</v>
      </c>
      <c r="B50" s="75"/>
      <c r="C50" s="81" t="str">
        <f>IF(OR(INDEX(Status_Systeme,$A$2)=TRUE,EA_PV_Status=FALSE),"","B | ÜBERSCHUSS")</f>
        <v/>
      </c>
      <c r="D50" s="414" t="str">
        <f>IF(OR(INDEX(Status_Systeme,$A$2)=TRUE,EA_PV_Status=FALSE),"",INDEX(Tabelle_Energie,8,1))</f>
        <v/>
      </c>
      <c r="E50" s="414"/>
      <c r="F50" s="414"/>
      <c r="G50" s="418"/>
      <c r="H50" s="418"/>
      <c r="I50" s="418"/>
      <c r="J50" s="59"/>
      <c r="K50" s="419"/>
      <c r="L50" s="419"/>
      <c r="M50" s="76"/>
      <c r="N50" s="78"/>
      <c r="O50" s="30"/>
      <c r="P50" s="55"/>
      <c r="Q50" s="55"/>
      <c r="R50" s="71"/>
      <c r="S50" s="72" t="e">
        <f>VLOOKUP(D50,Tabelle_Energie,6,FALSE)=VLOOKUP(D50,Tabelle_Energie,7,FALSE)</f>
        <v>#N/A</v>
      </c>
      <c r="T50" s="105" t="e">
        <f>VLOOKUP(D50,Tabelle_Energie,5,FALSE)</f>
        <v>#N/A</v>
      </c>
      <c r="U50" s="103" t="e">
        <f>(1-((1+T50)/(1+Basis_Marktzins))^Basis_Betrachtungszeitraum)/(1-((1+Basis_Inflation)/(1+Basis_Marktzins))^Basis_Betrachtungszeitraum)*((Basis_Marktzins-Basis_Inflation)/(1+Basis_Inflation))/((Basis_Marktzins-T50)/(1+T50))</f>
        <v>#N/A</v>
      </c>
      <c r="V50" s="103" t="e">
        <f>Basis_Barwertfaktor*U50</f>
        <v>#N/A</v>
      </c>
      <c r="W50" s="71"/>
      <c r="X50" s="71"/>
      <c r="Y50" s="71"/>
      <c r="Z50" s="71"/>
      <c r="AA50" s="71"/>
      <c r="AB50" s="71"/>
      <c r="AC50" s="22"/>
      <c r="AD50" s="22"/>
      <c r="AE50" s="22"/>
      <c r="AF50" s="22"/>
      <c r="AG50" s="22"/>
      <c r="AH50" s="22"/>
      <c r="AI50" s="22"/>
      <c r="AJ50" s="22"/>
      <c r="AK50" s="22"/>
      <c r="AL50" s="22"/>
      <c r="AM50" s="22"/>
      <c r="AN50" s="22"/>
      <c r="AO50" s="22"/>
      <c r="AP50" s="22"/>
      <c r="AQ50" s="22"/>
      <c r="AR50" s="22"/>
      <c r="AS50" s="22"/>
    </row>
    <row r="51" spans="1:45" x14ac:dyDescent="0.3">
      <c r="A51" s="22"/>
      <c r="B51" s="71"/>
      <c r="C51" s="24"/>
      <c r="D51" s="24"/>
      <c r="E51" s="31"/>
      <c r="F51" s="24"/>
      <c r="G51" s="24"/>
      <c r="H51" s="24"/>
      <c r="I51" s="31"/>
      <c r="J51" s="24"/>
      <c r="K51" s="24"/>
      <c r="L51" s="24"/>
      <c r="M51" s="78"/>
      <c r="N51" s="78"/>
      <c r="O51" s="24"/>
      <c r="P51" s="24"/>
      <c r="Q51" s="24"/>
      <c r="R51" s="71"/>
      <c r="S51" s="71"/>
      <c r="T51" s="71"/>
      <c r="U51" s="128"/>
      <c r="V51" s="128"/>
      <c r="W51" s="71"/>
      <c r="X51" s="71"/>
      <c r="Y51" s="71"/>
      <c r="Z51" s="71"/>
      <c r="AA51" s="71"/>
      <c r="AB51" s="71"/>
      <c r="AC51" s="22"/>
      <c r="AD51" s="22"/>
      <c r="AE51" s="22"/>
      <c r="AF51" s="22"/>
      <c r="AG51" s="22"/>
      <c r="AH51" s="22"/>
      <c r="AI51" s="22"/>
      <c r="AJ51" s="22"/>
      <c r="AK51" s="22"/>
      <c r="AL51" s="22"/>
      <c r="AM51" s="22"/>
      <c r="AN51" s="22"/>
      <c r="AO51" s="22"/>
      <c r="AP51" s="22"/>
      <c r="AQ51" s="22"/>
      <c r="AR51" s="22"/>
      <c r="AS51" s="22"/>
    </row>
    <row r="52" spans="1:45" x14ac:dyDescent="0.3">
      <c r="A52" s="22"/>
      <c r="B52" s="71"/>
      <c r="C52" s="24"/>
      <c r="D52" s="24"/>
      <c r="E52" s="31"/>
      <c r="F52" s="24"/>
      <c r="G52" s="24"/>
      <c r="H52" s="24"/>
      <c r="I52" s="31"/>
      <c r="J52" s="24"/>
      <c r="K52" s="24"/>
      <c r="L52" s="24"/>
      <c r="M52" s="78"/>
      <c r="N52" s="78"/>
      <c r="O52" s="24"/>
      <c r="P52" s="24"/>
      <c r="Q52" s="24"/>
      <c r="R52" s="71"/>
      <c r="S52" s="71"/>
      <c r="T52" s="71"/>
      <c r="U52" s="71"/>
      <c r="V52" s="71"/>
      <c r="W52" s="71"/>
      <c r="X52" s="71"/>
      <c r="Y52" s="71"/>
      <c r="Z52" s="71"/>
      <c r="AA52" s="71"/>
      <c r="AB52" s="71"/>
      <c r="AC52" s="22"/>
      <c r="AD52" s="22"/>
      <c r="AE52" s="22"/>
      <c r="AF52" s="22"/>
      <c r="AG52" s="22"/>
      <c r="AH52" s="22"/>
      <c r="AI52" s="22"/>
      <c r="AJ52" s="22"/>
      <c r="AK52" s="22"/>
      <c r="AL52" s="22"/>
      <c r="AM52" s="22"/>
      <c r="AN52" s="22"/>
      <c r="AO52" s="22"/>
      <c r="AP52" s="22"/>
      <c r="AQ52" s="22"/>
      <c r="AR52" s="22"/>
      <c r="AS52" s="22"/>
    </row>
    <row r="53" spans="1:45" x14ac:dyDescent="0.3">
      <c r="A53" s="22"/>
      <c r="B53" s="71"/>
      <c r="C53" s="56"/>
      <c r="D53" s="56"/>
      <c r="E53" s="29"/>
      <c r="F53" s="29"/>
      <c r="G53" s="29"/>
      <c r="H53" s="29"/>
      <c r="I53" s="29"/>
      <c r="J53" s="29"/>
      <c r="K53" s="29"/>
      <c r="L53" s="57"/>
      <c r="M53" s="78"/>
      <c r="N53" s="78"/>
      <c r="O53" s="24"/>
      <c r="P53" s="24"/>
      <c r="Q53" s="24"/>
      <c r="R53" s="71"/>
      <c r="S53" s="71"/>
      <c r="T53" s="71"/>
      <c r="U53" s="71"/>
      <c r="V53" s="71"/>
      <c r="W53" s="71"/>
      <c r="X53" s="71"/>
      <c r="Y53" s="71"/>
      <c r="Z53" s="71"/>
      <c r="AA53" s="71"/>
      <c r="AB53" s="71"/>
      <c r="AC53" s="22"/>
      <c r="AD53" s="22"/>
      <c r="AE53" s="22"/>
      <c r="AF53" s="22"/>
      <c r="AG53" s="22"/>
      <c r="AH53" s="22"/>
      <c r="AI53" s="22"/>
      <c r="AJ53" s="22"/>
      <c r="AK53" s="22"/>
      <c r="AL53" s="22"/>
      <c r="AM53" s="22"/>
      <c r="AN53" s="22"/>
      <c r="AO53" s="22"/>
      <c r="AP53" s="22"/>
      <c r="AQ53" s="22"/>
      <c r="AR53" s="22"/>
      <c r="AS53" s="22"/>
    </row>
    <row r="54" spans="1:45" x14ac:dyDescent="0.3">
      <c r="A54" s="22"/>
      <c r="B54" s="71"/>
      <c r="C54" s="24"/>
      <c r="D54" s="24"/>
      <c r="E54" s="31"/>
      <c r="F54" s="24"/>
      <c r="G54" s="24"/>
      <c r="H54" s="24"/>
      <c r="I54" s="31"/>
      <c r="J54" s="24"/>
      <c r="K54" s="24"/>
      <c r="L54" s="24"/>
      <c r="M54" s="78"/>
      <c r="N54" s="78"/>
      <c r="O54" s="24"/>
      <c r="P54" s="24"/>
      <c r="Q54" s="24"/>
      <c r="R54" s="71"/>
      <c r="S54" s="71"/>
      <c r="T54" s="71"/>
      <c r="U54" s="71"/>
      <c r="V54" s="71"/>
      <c r="W54" s="71"/>
      <c r="X54" s="71"/>
      <c r="Y54" s="71"/>
      <c r="Z54" s="71"/>
      <c r="AA54" s="71"/>
      <c r="AB54" s="71"/>
      <c r="AC54" s="22"/>
      <c r="AD54" s="22"/>
      <c r="AE54" s="22"/>
      <c r="AF54" s="22"/>
      <c r="AG54" s="22"/>
      <c r="AH54" s="22"/>
      <c r="AI54" s="22"/>
      <c r="AJ54" s="22"/>
      <c r="AK54" s="22"/>
      <c r="AL54" s="22"/>
      <c r="AM54" s="22"/>
      <c r="AN54" s="22"/>
      <c r="AO54" s="22"/>
      <c r="AP54" s="22"/>
      <c r="AQ54" s="22"/>
      <c r="AR54" s="22"/>
      <c r="AS54" s="22"/>
    </row>
    <row r="55" spans="1:45" x14ac:dyDescent="0.3">
      <c r="A55" s="22"/>
      <c r="B55" s="71"/>
      <c r="C55" s="24"/>
      <c r="D55" s="24"/>
      <c r="E55" s="31"/>
      <c r="F55" s="24"/>
      <c r="G55" s="24"/>
      <c r="H55" s="24"/>
      <c r="I55" s="31"/>
      <c r="J55" s="24"/>
      <c r="K55" s="24"/>
      <c r="L55" s="24"/>
      <c r="M55" s="78"/>
      <c r="N55" s="78"/>
      <c r="O55" s="24"/>
      <c r="P55" s="24"/>
      <c r="Q55" s="24"/>
      <c r="R55" s="71"/>
      <c r="S55" s="71"/>
      <c r="T55" s="71"/>
      <c r="U55" s="71"/>
      <c r="V55" s="71"/>
      <c r="W55" s="71"/>
      <c r="X55" s="71"/>
      <c r="Y55" s="71"/>
      <c r="Z55" s="71"/>
      <c r="AA55" s="71"/>
      <c r="AB55" s="71"/>
      <c r="AC55" s="22"/>
      <c r="AD55" s="22"/>
      <c r="AE55" s="22"/>
      <c r="AF55" s="22"/>
      <c r="AG55" s="22"/>
      <c r="AH55" s="22"/>
      <c r="AI55" s="22"/>
      <c r="AJ55" s="22"/>
      <c r="AK55" s="22"/>
      <c r="AL55" s="22"/>
      <c r="AM55" s="22"/>
      <c r="AN55" s="22"/>
      <c r="AO55" s="22"/>
      <c r="AP55" s="22"/>
      <c r="AQ55" s="22"/>
      <c r="AR55" s="22"/>
      <c r="AS55" s="22"/>
    </row>
    <row r="56" spans="1:45" x14ac:dyDescent="0.3">
      <c r="A56" s="22"/>
      <c r="B56" s="71"/>
      <c r="C56" s="24"/>
      <c r="D56" s="24"/>
      <c r="E56" s="31"/>
      <c r="F56" s="24"/>
      <c r="G56" s="24"/>
      <c r="H56" s="24"/>
      <c r="I56" s="31"/>
      <c r="J56" s="24"/>
      <c r="K56" s="24"/>
      <c r="L56" s="24"/>
      <c r="M56" s="78"/>
      <c r="N56" s="78"/>
      <c r="O56" s="24"/>
      <c r="P56" s="24"/>
      <c r="Q56" s="24"/>
      <c r="R56" s="71"/>
      <c r="S56" s="71"/>
      <c r="T56" s="71"/>
      <c r="U56" s="71"/>
      <c r="V56" s="71"/>
      <c r="W56" s="71"/>
      <c r="X56" s="71"/>
      <c r="Y56" s="71"/>
      <c r="Z56" s="71"/>
      <c r="AA56" s="71"/>
      <c r="AB56" s="71"/>
      <c r="AC56" s="22"/>
      <c r="AD56" s="22"/>
      <c r="AE56" s="22"/>
      <c r="AF56" s="22"/>
      <c r="AG56" s="22"/>
      <c r="AH56" s="22"/>
      <c r="AI56" s="22"/>
      <c r="AJ56" s="22"/>
      <c r="AK56" s="22"/>
      <c r="AL56" s="22"/>
      <c r="AM56" s="22"/>
      <c r="AN56" s="22"/>
      <c r="AO56" s="22"/>
      <c r="AP56" s="22"/>
      <c r="AQ56" s="22"/>
      <c r="AR56" s="22"/>
      <c r="AS56" s="22"/>
    </row>
    <row r="57" spans="1:45" x14ac:dyDescent="0.3">
      <c r="A57" s="22"/>
      <c r="B57" s="71"/>
      <c r="C57" s="24"/>
      <c r="D57" s="24"/>
      <c r="E57" s="31"/>
      <c r="F57" s="24"/>
      <c r="G57" s="24"/>
      <c r="H57" s="24"/>
      <c r="I57" s="31"/>
      <c r="J57" s="24"/>
      <c r="K57" s="24"/>
      <c r="L57" s="24"/>
      <c r="M57" s="78"/>
      <c r="N57" s="78"/>
      <c r="O57" s="24"/>
      <c r="P57" s="24"/>
      <c r="Q57" s="24"/>
      <c r="R57" s="71"/>
      <c r="S57" s="71"/>
      <c r="T57" s="71"/>
      <c r="U57" s="71"/>
      <c r="V57" s="71"/>
      <c r="W57" s="71"/>
      <c r="X57" s="71"/>
      <c r="Y57" s="71"/>
      <c r="Z57" s="71"/>
      <c r="AA57" s="71"/>
      <c r="AB57" s="71"/>
      <c r="AC57" s="22"/>
      <c r="AD57" s="22"/>
      <c r="AE57" s="22"/>
      <c r="AF57" s="22"/>
      <c r="AG57" s="22"/>
      <c r="AH57" s="22"/>
      <c r="AI57" s="22"/>
      <c r="AJ57" s="22"/>
      <c r="AK57" s="22"/>
      <c r="AL57" s="22"/>
      <c r="AM57" s="22"/>
      <c r="AN57" s="22"/>
      <c r="AO57" s="22"/>
      <c r="AP57" s="22"/>
      <c r="AQ57" s="22"/>
      <c r="AR57" s="22"/>
      <c r="AS57" s="22"/>
    </row>
    <row r="58" spans="1:45" x14ac:dyDescent="0.3">
      <c r="A58" s="22"/>
      <c r="B58" s="71"/>
      <c r="C58" s="24"/>
      <c r="D58" s="31"/>
      <c r="E58" s="24"/>
      <c r="F58" s="24"/>
      <c r="G58" s="24"/>
      <c r="H58" s="31"/>
      <c r="I58" s="24"/>
      <c r="J58" s="24"/>
      <c r="K58" s="24"/>
      <c r="L58" s="31"/>
      <c r="M58" s="78"/>
      <c r="N58" s="78"/>
      <c r="O58" s="24"/>
      <c r="P58" s="24"/>
      <c r="Q58" s="24"/>
      <c r="R58" s="71"/>
      <c r="S58" s="71"/>
      <c r="T58" s="71"/>
      <c r="U58" s="71"/>
      <c r="V58" s="71"/>
      <c r="W58" s="71"/>
      <c r="X58" s="71"/>
      <c r="Y58" s="71"/>
      <c r="Z58" s="71"/>
      <c r="AA58" s="71"/>
      <c r="AB58" s="71"/>
      <c r="AC58" s="22"/>
      <c r="AD58" s="22"/>
      <c r="AE58" s="22"/>
      <c r="AF58" s="22"/>
      <c r="AG58" s="22"/>
      <c r="AH58" s="22"/>
      <c r="AI58" s="22"/>
      <c r="AJ58" s="22"/>
      <c r="AK58" s="22"/>
      <c r="AL58" s="22"/>
      <c r="AM58" s="22"/>
      <c r="AN58" s="22"/>
      <c r="AO58" s="22"/>
      <c r="AP58" s="22"/>
      <c r="AQ58" s="22"/>
      <c r="AR58" s="22"/>
      <c r="AS58" s="22"/>
    </row>
    <row r="59" spans="1:45" x14ac:dyDescent="0.3">
      <c r="A59" s="22"/>
      <c r="B59" s="71"/>
      <c r="C59" s="24"/>
      <c r="D59" s="31"/>
      <c r="E59" s="24"/>
      <c r="F59" s="24"/>
      <c r="G59" s="24"/>
      <c r="H59" s="31"/>
      <c r="I59" s="24"/>
      <c r="J59" s="24"/>
      <c r="K59" s="24"/>
      <c r="L59" s="31"/>
      <c r="M59" s="78"/>
      <c r="N59" s="78"/>
      <c r="O59" s="24"/>
      <c r="P59" s="24"/>
      <c r="Q59" s="24"/>
      <c r="R59" s="71"/>
      <c r="S59" s="71"/>
      <c r="T59" s="71"/>
      <c r="U59" s="71"/>
      <c r="V59" s="71"/>
      <c r="W59" s="71"/>
      <c r="X59" s="71"/>
      <c r="Y59" s="71"/>
      <c r="Z59" s="71"/>
      <c r="AA59" s="71"/>
      <c r="AB59" s="71"/>
      <c r="AC59" s="22"/>
      <c r="AD59" s="22"/>
      <c r="AE59" s="22"/>
      <c r="AF59" s="22"/>
      <c r="AG59" s="22"/>
      <c r="AH59" s="22"/>
      <c r="AI59" s="22"/>
      <c r="AJ59" s="22"/>
      <c r="AK59" s="22"/>
      <c r="AL59" s="22"/>
      <c r="AM59" s="22"/>
      <c r="AN59" s="22"/>
      <c r="AO59" s="22"/>
      <c r="AP59" s="22"/>
      <c r="AQ59" s="22"/>
      <c r="AR59" s="22"/>
      <c r="AS59" s="22"/>
    </row>
    <row r="60" spans="1:45" x14ac:dyDescent="0.3">
      <c r="A60" s="22"/>
      <c r="B60" s="71"/>
      <c r="C60" s="24"/>
      <c r="D60" s="31"/>
      <c r="E60" s="24"/>
      <c r="F60" s="24"/>
      <c r="G60" s="24"/>
      <c r="H60" s="31"/>
      <c r="I60" s="24"/>
      <c r="J60" s="24"/>
      <c r="K60" s="24"/>
      <c r="L60" s="31"/>
      <c r="M60" s="78"/>
      <c r="N60" s="78"/>
      <c r="O60" s="24"/>
      <c r="P60" s="24"/>
      <c r="Q60" s="24"/>
      <c r="R60" s="71"/>
      <c r="S60" s="71"/>
      <c r="T60" s="71"/>
      <c r="U60" s="71"/>
      <c r="V60" s="71"/>
      <c r="W60" s="71"/>
      <c r="X60" s="71"/>
      <c r="Y60" s="71"/>
      <c r="Z60" s="71"/>
      <c r="AA60" s="71"/>
      <c r="AB60" s="71"/>
      <c r="AC60" s="22"/>
      <c r="AD60" s="22"/>
      <c r="AE60" s="22"/>
      <c r="AF60" s="22"/>
      <c r="AG60" s="22"/>
      <c r="AH60" s="22"/>
      <c r="AI60" s="22"/>
      <c r="AJ60" s="22"/>
      <c r="AK60" s="22"/>
      <c r="AL60" s="22"/>
      <c r="AM60" s="22"/>
      <c r="AN60" s="22"/>
      <c r="AO60" s="22"/>
      <c r="AP60" s="22"/>
      <c r="AQ60" s="22"/>
      <c r="AR60" s="22"/>
      <c r="AS60" s="22"/>
    </row>
    <row r="61" spans="1:45" x14ac:dyDescent="0.3">
      <c r="A61" s="22"/>
      <c r="B61" s="71"/>
      <c r="C61" s="24"/>
      <c r="D61" s="31"/>
      <c r="E61" s="24"/>
      <c r="F61" s="24"/>
      <c r="G61" s="24"/>
      <c r="H61" s="31"/>
      <c r="I61" s="24"/>
      <c r="J61" s="24"/>
      <c r="K61" s="24"/>
      <c r="L61" s="31"/>
      <c r="M61" s="78"/>
      <c r="N61" s="78"/>
      <c r="O61" s="24"/>
      <c r="P61" s="24"/>
      <c r="Q61" s="24"/>
      <c r="R61" s="71"/>
      <c r="S61" s="71"/>
      <c r="T61" s="71"/>
      <c r="U61" s="71"/>
      <c r="V61" s="71"/>
      <c r="W61" s="71"/>
      <c r="X61" s="71"/>
      <c r="Y61" s="71"/>
      <c r="Z61" s="71"/>
      <c r="AA61" s="71"/>
      <c r="AB61" s="71"/>
      <c r="AC61" s="22"/>
      <c r="AD61" s="22"/>
      <c r="AE61" s="22"/>
      <c r="AF61" s="22"/>
      <c r="AG61" s="22"/>
      <c r="AH61" s="22"/>
      <c r="AI61" s="22"/>
      <c r="AJ61" s="22"/>
      <c r="AK61" s="22"/>
      <c r="AL61" s="22"/>
      <c r="AM61" s="22"/>
      <c r="AN61" s="22"/>
      <c r="AO61" s="22"/>
      <c r="AP61" s="22"/>
      <c r="AQ61" s="22"/>
      <c r="AR61" s="22"/>
      <c r="AS61" s="22"/>
    </row>
    <row r="62" spans="1:45" x14ac:dyDescent="0.3">
      <c r="A62" s="22"/>
      <c r="B62" s="71"/>
      <c r="C62" s="24"/>
      <c r="D62" s="31"/>
      <c r="E62" s="24"/>
      <c r="F62" s="24"/>
      <c r="G62" s="24"/>
      <c r="H62" s="31"/>
      <c r="I62" s="24"/>
      <c r="J62" s="24"/>
      <c r="K62" s="24"/>
      <c r="L62" s="31"/>
      <c r="M62" s="78"/>
      <c r="N62" s="78"/>
      <c r="O62" s="24"/>
      <c r="P62" s="24"/>
      <c r="Q62" s="24"/>
      <c r="R62" s="71"/>
      <c r="S62" s="71"/>
      <c r="T62" s="71"/>
      <c r="U62" s="71"/>
      <c r="V62" s="71"/>
      <c r="W62" s="71"/>
      <c r="X62" s="71"/>
      <c r="Y62" s="71"/>
      <c r="Z62" s="71"/>
      <c r="AA62" s="71"/>
      <c r="AB62" s="71"/>
      <c r="AC62" s="22"/>
      <c r="AD62" s="22"/>
      <c r="AE62" s="22"/>
      <c r="AF62" s="22"/>
      <c r="AG62" s="22"/>
      <c r="AH62" s="22"/>
      <c r="AI62" s="22"/>
      <c r="AJ62" s="22"/>
      <c r="AK62" s="22"/>
      <c r="AL62" s="22"/>
      <c r="AM62" s="22"/>
      <c r="AN62" s="22"/>
      <c r="AO62" s="22"/>
      <c r="AP62" s="22"/>
      <c r="AQ62" s="22"/>
      <c r="AR62" s="22"/>
      <c r="AS62" s="22"/>
    </row>
    <row r="63" spans="1:45" x14ac:dyDescent="0.3">
      <c r="A63" s="22"/>
      <c r="B63" s="71"/>
      <c r="C63" s="24"/>
      <c r="D63" s="31"/>
      <c r="E63" s="24"/>
      <c r="F63" s="24"/>
      <c r="G63" s="24"/>
      <c r="H63" s="31"/>
      <c r="I63" s="24"/>
      <c r="J63" s="24"/>
      <c r="K63" s="24"/>
      <c r="L63" s="31"/>
      <c r="M63" s="78"/>
      <c r="N63" s="78"/>
      <c r="O63" s="24"/>
      <c r="P63" s="24"/>
      <c r="Q63" s="24"/>
      <c r="R63" s="71"/>
      <c r="S63" s="71"/>
      <c r="T63" s="71"/>
      <c r="U63" s="71"/>
      <c r="V63" s="71"/>
      <c r="W63" s="71"/>
      <c r="X63" s="71"/>
      <c r="Y63" s="71"/>
      <c r="Z63" s="71"/>
      <c r="AA63" s="71"/>
      <c r="AB63" s="71"/>
      <c r="AC63" s="22"/>
      <c r="AD63" s="22"/>
      <c r="AE63" s="22"/>
      <c r="AF63" s="22"/>
      <c r="AG63" s="22"/>
      <c r="AH63" s="22"/>
      <c r="AI63" s="22"/>
      <c r="AJ63" s="22"/>
      <c r="AK63" s="22"/>
      <c r="AL63" s="22"/>
      <c r="AM63" s="22"/>
      <c r="AN63" s="22"/>
      <c r="AO63" s="22"/>
      <c r="AP63" s="22"/>
      <c r="AQ63" s="22"/>
      <c r="AR63" s="22"/>
      <c r="AS63" s="22"/>
    </row>
    <row r="64" spans="1:45" x14ac:dyDescent="0.3">
      <c r="A64" s="22"/>
      <c r="B64" s="71"/>
      <c r="C64" s="24"/>
      <c r="D64" s="31"/>
      <c r="E64" s="24"/>
      <c r="F64" s="24"/>
      <c r="G64" s="24"/>
      <c r="H64" s="31"/>
      <c r="I64" s="24"/>
      <c r="J64" s="24"/>
      <c r="K64" s="24"/>
      <c r="L64" s="31"/>
      <c r="M64" s="78"/>
      <c r="N64" s="78"/>
      <c r="O64" s="24"/>
      <c r="P64" s="24"/>
      <c r="Q64" s="24"/>
      <c r="R64" s="71"/>
      <c r="S64" s="71"/>
      <c r="T64" s="71"/>
      <c r="U64" s="71"/>
      <c r="V64" s="71"/>
      <c r="W64" s="71"/>
      <c r="X64" s="71"/>
      <c r="Y64" s="71"/>
      <c r="Z64" s="71"/>
      <c r="AA64" s="71"/>
      <c r="AB64" s="71"/>
      <c r="AC64" s="22"/>
      <c r="AD64" s="22"/>
      <c r="AE64" s="22"/>
      <c r="AF64" s="22"/>
      <c r="AG64" s="22"/>
      <c r="AH64" s="22"/>
      <c r="AI64" s="22"/>
      <c r="AJ64" s="22"/>
      <c r="AK64" s="22"/>
      <c r="AL64" s="22"/>
      <c r="AM64" s="22"/>
      <c r="AN64" s="22"/>
      <c r="AO64" s="22"/>
      <c r="AP64" s="22"/>
      <c r="AQ64" s="22"/>
      <c r="AR64" s="22"/>
      <c r="AS64" s="22"/>
    </row>
    <row r="65" spans="1:45" x14ac:dyDescent="0.3">
      <c r="A65" s="22"/>
      <c r="B65" s="71"/>
      <c r="C65" s="24"/>
      <c r="D65" s="31"/>
      <c r="E65" s="24"/>
      <c r="F65" s="24"/>
      <c r="G65" s="24"/>
      <c r="H65" s="31"/>
      <c r="I65" s="24"/>
      <c r="J65" s="24"/>
      <c r="K65" s="24"/>
      <c r="L65" s="31"/>
      <c r="M65" s="78"/>
      <c r="N65" s="78"/>
      <c r="O65" s="24"/>
      <c r="P65" s="24"/>
      <c r="Q65" s="24"/>
      <c r="R65" s="71"/>
      <c r="S65" s="71"/>
      <c r="T65" s="71"/>
      <c r="U65" s="71"/>
      <c r="V65" s="71"/>
      <c r="W65" s="71"/>
      <c r="X65" s="71"/>
      <c r="Y65" s="71"/>
      <c r="Z65" s="71"/>
      <c r="AA65" s="71"/>
      <c r="AB65" s="71"/>
      <c r="AC65" s="22"/>
      <c r="AD65" s="22"/>
      <c r="AE65" s="22"/>
      <c r="AF65" s="22"/>
      <c r="AG65" s="22"/>
      <c r="AH65" s="22"/>
      <c r="AI65" s="22"/>
      <c r="AJ65" s="22"/>
      <c r="AK65" s="22"/>
      <c r="AL65" s="22"/>
      <c r="AM65" s="22"/>
      <c r="AN65" s="22"/>
      <c r="AO65" s="22"/>
      <c r="AP65" s="22"/>
      <c r="AQ65" s="22"/>
      <c r="AR65" s="22"/>
      <c r="AS65" s="22"/>
    </row>
    <row r="66" spans="1:45" x14ac:dyDescent="0.3">
      <c r="A66" s="22"/>
      <c r="B66" s="71"/>
      <c r="C66" s="24"/>
      <c r="D66" s="31"/>
      <c r="E66" s="24"/>
      <c r="F66" s="24"/>
      <c r="G66" s="24"/>
      <c r="H66" s="31"/>
      <c r="I66" s="24"/>
      <c r="J66" s="24"/>
      <c r="K66" s="24"/>
      <c r="L66" s="31"/>
      <c r="M66" s="78"/>
      <c r="N66" s="78"/>
      <c r="O66" s="24"/>
      <c r="P66" s="24"/>
      <c r="Q66" s="24"/>
      <c r="R66" s="71"/>
      <c r="S66" s="71"/>
      <c r="T66" s="71"/>
      <c r="U66" s="71"/>
      <c r="V66" s="71"/>
      <c r="W66" s="71"/>
      <c r="X66" s="71"/>
      <c r="Y66" s="71"/>
      <c r="Z66" s="71"/>
      <c r="AA66" s="71"/>
      <c r="AB66" s="71"/>
      <c r="AC66" s="22"/>
      <c r="AD66" s="22"/>
      <c r="AE66" s="22"/>
      <c r="AF66" s="22"/>
      <c r="AG66" s="22"/>
      <c r="AH66" s="22"/>
      <c r="AI66" s="22"/>
      <c r="AJ66" s="22"/>
      <c r="AK66" s="22"/>
      <c r="AL66" s="22"/>
      <c r="AM66" s="22"/>
      <c r="AN66" s="22"/>
      <c r="AO66" s="22"/>
      <c r="AP66" s="22"/>
      <c r="AQ66" s="22"/>
      <c r="AR66" s="22"/>
      <c r="AS66" s="22"/>
    </row>
    <row r="67" spans="1:45" x14ac:dyDescent="0.3">
      <c r="A67" s="22"/>
      <c r="B67" s="71"/>
      <c r="C67" s="24"/>
      <c r="D67" s="31"/>
      <c r="E67" s="24"/>
      <c r="F67" s="24"/>
      <c r="G67" s="24"/>
      <c r="H67" s="31"/>
      <c r="I67" s="24"/>
      <c r="J67" s="24"/>
      <c r="K67" s="24"/>
      <c r="L67" s="31"/>
      <c r="M67" s="78"/>
      <c r="N67" s="78"/>
      <c r="O67" s="24"/>
      <c r="P67" s="24"/>
      <c r="Q67" s="24"/>
      <c r="R67" s="71"/>
      <c r="S67" s="71"/>
      <c r="T67" s="71"/>
      <c r="U67" s="71"/>
      <c r="V67" s="71"/>
      <c r="W67" s="71"/>
      <c r="X67" s="71"/>
      <c r="Y67" s="71"/>
      <c r="Z67" s="71"/>
      <c r="AA67" s="71"/>
      <c r="AB67" s="71"/>
      <c r="AC67" s="22"/>
      <c r="AD67" s="22"/>
      <c r="AE67" s="22"/>
      <c r="AF67" s="22"/>
      <c r="AG67" s="22"/>
      <c r="AH67" s="22"/>
      <c r="AI67" s="22"/>
      <c r="AJ67" s="22"/>
      <c r="AK67" s="22"/>
      <c r="AL67" s="22"/>
      <c r="AM67" s="22"/>
      <c r="AN67" s="22"/>
      <c r="AO67" s="22"/>
      <c r="AP67" s="22"/>
      <c r="AQ67" s="22"/>
      <c r="AR67" s="22"/>
      <c r="AS67" s="22"/>
    </row>
    <row r="68" spans="1:45" x14ac:dyDescent="0.3">
      <c r="A68" s="22"/>
      <c r="B68" s="71"/>
      <c r="C68" s="24"/>
      <c r="D68" s="31"/>
      <c r="E68" s="24"/>
      <c r="F68" s="24"/>
      <c r="G68" s="24"/>
      <c r="H68" s="31"/>
      <c r="I68" s="24"/>
      <c r="J68" s="24"/>
      <c r="K68" s="24"/>
      <c r="L68" s="31"/>
      <c r="M68" s="78"/>
      <c r="N68" s="78"/>
      <c r="O68" s="24"/>
      <c r="P68" s="24"/>
      <c r="Q68" s="24"/>
      <c r="R68" s="71"/>
      <c r="S68" s="71"/>
      <c r="T68" s="71"/>
      <c r="U68" s="71"/>
      <c r="V68" s="71"/>
      <c r="W68" s="71"/>
      <c r="X68" s="71"/>
      <c r="Y68" s="71"/>
      <c r="Z68" s="71"/>
      <c r="AA68" s="71"/>
      <c r="AB68" s="71"/>
      <c r="AC68" s="22"/>
      <c r="AD68" s="22"/>
      <c r="AE68" s="22"/>
      <c r="AF68" s="22"/>
      <c r="AG68" s="22"/>
      <c r="AH68" s="22"/>
      <c r="AI68" s="22"/>
      <c r="AJ68" s="22"/>
      <c r="AK68" s="22"/>
      <c r="AL68" s="22"/>
      <c r="AM68" s="22"/>
      <c r="AN68" s="22"/>
      <c r="AO68" s="22"/>
      <c r="AP68" s="22"/>
      <c r="AQ68" s="22"/>
      <c r="AR68" s="22"/>
      <c r="AS68" s="22"/>
    </row>
    <row r="69" spans="1:45" x14ac:dyDescent="0.3">
      <c r="A69" s="22"/>
      <c r="B69" s="71"/>
      <c r="C69" s="22"/>
      <c r="D69" s="23"/>
      <c r="E69" s="22"/>
      <c r="F69" s="22"/>
      <c r="G69" s="22"/>
      <c r="H69" s="23"/>
      <c r="I69" s="22"/>
      <c r="J69" s="22"/>
      <c r="K69" s="22"/>
      <c r="L69" s="23"/>
      <c r="M69" s="71"/>
      <c r="N69" s="71"/>
      <c r="O69" s="22"/>
      <c r="P69" s="22"/>
      <c r="Q69" s="22"/>
      <c r="R69" s="71"/>
      <c r="S69" s="71"/>
      <c r="T69" s="71"/>
      <c r="U69" s="71"/>
      <c r="V69" s="71"/>
      <c r="W69" s="71"/>
      <c r="X69" s="71"/>
      <c r="Y69" s="71"/>
      <c r="Z69" s="71"/>
      <c r="AA69" s="71"/>
      <c r="AB69" s="71"/>
      <c r="AC69" s="22"/>
      <c r="AD69" s="22"/>
      <c r="AE69" s="22"/>
      <c r="AF69" s="22"/>
      <c r="AG69" s="22"/>
      <c r="AH69" s="22"/>
      <c r="AI69" s="22"/>
      <c r="AJ69" s="22"/>
      <c r="AK69" s="22"/>
      <c r="AL69" s="22"/>
      <c r="AM69" s="22"/>
      <c r="AN69" s="22"/>
      <c r="AO69" s="22"/>
      <c r="AP69" s="22"/>
      <c r="AQ69" s="22"/>
      <c r="AR69" s="22"/>
      <c r="AS69" s="22"/>
    </row>
    <row r="70" spans="1:45" x14ac:dyDescent="0.3">
      <c r="A70" s="22"/>
      <c r="B70" s="71"/>
      <c r="C70" s="22"/>
      <c r="D70" s="23"/>
      <c r="E70" s="22"/>
      <c r="F70" s="22"/>
      <c r="G70" s="22"/>
      <c r="H70" s="23"/>
      <c r="I70" s="22"/>
      <c r="J70" s="22"/>
      <c r="K70" s="22"/>
      <c r="L70" s="23"/>
      <c r="M70" s="71"/>
      <c r="N70" s="71"/>
      <c r="O70" s="22"/>
      <c r="P70" s="22"/>
      <c r="Q70" s="22"/>
      <c r="R70" s="71"/>
      <c r="S70" s="71"/>
      <c r="T70" s="71"/>
      <c r="U70" s="71"/>
      <c r="V70" s="71"/>
      <c r="W70" s="71"/>
      <c r="X70" s="71"/>
      <c r="Y70" s="71"/>
      <c r="Z70" s="71"/>
      <c r="AA70" s="71"/>
      <c r="AB70" s="71"/>
      <c r="AC70" s="22"/>
      <c r="AD70" s="22"/>
      <c r="AE70" s="22"/>
      <c r="AF70" s="22"/>
      <c r="AG70" s="22"/>
      <c r="AH70" s="22"/>
      <c r="AI70" s="22"/>
      <c r="AJ70" s="22"/>
      <c r="AK70" s="22"/>
      <c r="AL70" s="22"/>
      <c r="AM70" s="22"/>
      <c r="AN70" s="22"/>
      <c r="AO70" s="22"/>
      <c r="AP70" s="22"/>
      <c r="AQ70" s="22"/>
      <c r="AR70" s="22"/>
      <c r="AS70" s="22"/>
    </row>
    <row r="71" spans="1:45" x14ac:dyDescent="0.3">
      <c r="A71" s="22"/>
      <c r="B71" s="71"/>
      <c r="C71" s="22"/>
      <c r="D71" s="23"/>
      <c r="E71" s="22"/>
      <c r="F71" s="22"/>
      <c r="G71" s="22"/>
      <c r="H71" s="23"/>
      <c r="I71" s="22"/>
      <c r="J71" s="22"/>
      <c r="K71" s="22"/>
      <c r="L71" s="23"/>
      <c r="M71" s="71"/>
      <c r="N71" s="71"/>
      <c r="O71" s="22"/>
      <c r="P71" s="22"/>
      <c r="Q71" s="22"/>
      <c r="R71" s="71"/>
      <c r="S71" s="71"/>
      <c r="T71" s="71"/>
      <c r="U71" s="71"/>
      <c r="V71" s="71"/>
      <c r="W71" s="71"/>
      <c r="X71" s="71"/>
      <c r="Y71" s="71"/>
      <c r="Z71" s="71"/>
      <c r="AA71" s="71"/>
      <c r="AB71" s="71"/>
      <c r="AC71" s="22"/>
      <c r="AD71" s="22"/>
      <c r="AE71" s="22"/>
      <c r="AF71" s="22"/>
      <c r="AG71" s="22"/>
      <c r="AH71" s="22"/>
      <c r="AI71" s="22"/>
      <c r="AJ71" s="22"/>
      <c r="AK71" s="22"/>
      <c r="AL71" s="22"/>
      <c r="AM71" s="22"/>
      <c r="AN71" s="22"/>
      <c r="AO71" s="22"/>
      <c r="AP71" s="22"/>
      <c r="AQ71" s="22"/>
      <c r="AR71" s="22"/>
      <c r="AS71" s="22"/>
    </row>
    <row r="72" spans="1:45" x14ac:dyDescent="0.3">
      <c r="A72" s="22"/>
      <c r="B72" s="71"/>
      <c r="C72" s="22"/>
      <c r="D72" s="23"/>
      <c r="E72" s="22"/>
      <c r="F72" s="22"/>
      <c r="G72" s="22"/>
      <c r="H72" s="23"/>
      <c r="I72" s="22"/>
      <c r="J72" s="22"/>
      <c r="K72" s="22"/>
      <c r="L72" s="23"/>
      <c r="M72" s="71"/>
      <c r="N72" s="71"/>
      <c r="O72" s="22"/>
      <c r="P72" s="22"/>
      <c r="Q72" s="22"/>
      <c r="R72" s="71"/>
      <c r="S72" s="71"/>
      <c r="T72" s="71"/>
      <c r="U72" s="71"/>
      <c r="V72" s="71"/>
      <c r="W72" s="71"/>
      <c r="X72" s="71"/>
      <c r="Y72" s="71"/>
      <c r="Z72" s="71"/>
      <c r="AA72" s="71"/>
      <c r="AB72" s="71"/>
      <c r="AC72" s="22"/>
      <c r="AD72" s="22"/>
      <c r="AE72" s="22"/>
      <c r="AF72" s="22"/>
      <c r="AG72" s="22"/>
      <c r="AH72" s="22"/>
      <c r="AI72" s="22"/>
      <c r="AJ72" s="22"/>
      <c r="AK72" s="22"/>
      <c r="AL72" s="22"/>
      <c r="AM72" s="22"/>
      <c r="AN72" s="22"/>
      <c r="AO72" s="22"/>
      <c r="AP72" s="22"/>
      <c r="AQ72" s="22"/>
      <c r="AR72" s="22"/>
      <c r="AS72" s="22"/>
    </row>
    <row r="73" spans="1:45" x14ac:dyDescent="0.3">
      <c r="A73" s="22"/>
      <c r="B73" s="71"/>
      <c r="C73" s="22"/>
      <c r="D73" s="23"/>
      <c r="E73" s="22"/>
      <c r="F73" s="22"/>
      <c r="G73" s="22"/>
      <c r="H73" s="23"/>
      <c r="I73" s="22"/>
      <c r="J73" s="22"/>
      <c r="K73" s="22"/>
      <c r="L73" s="23"/>
      <c r="M73" s="71"/>
      <c r="N73" s="71"/>
      <c r="O73" s="22"/>
      <c r="P73" s="22"/>
      <c r="Q73" s="22"/>
      <c r="R73" s="71"/>
      <c r="S73" s="71"/>
      <c r="T73" s="71"/>
      <c r="U73" s="71"/>
      <c r="V73" s="71"/>
      <c r="W73" s="71"/>
      <c r="X73" s="71"/>
      <c r="Y73" s="71"/>
      <c r="Z73" s="71"/>
      <c r="AA73" s="71"/>
      <c r="AB73" s="71"/>
      <c r="AC73" s="22"/>
      <c r="AD73" s="22"/>
      <c r="AE73" s="22"/>
      <c r="AF73" s="22"/>
      <c r="AG73" s="22"/>
      <c r="AH73" s="22"/>
      <c r="AI73" s="22"/>
      <c r="AJ73" s="22"/>
      <c r="AK73" s="22"/>
      <c r="AL73" s="22"/>
      <c r="AM73" s="22"/>
      <c r="AN73" s="22"/>
      <c r="AO73" s="22"/>
      <c r="AP73" s="22"/>
      <c r="AQ73" s="22"/>
      <c r="AR73" s="22"/>
      <c r="AS73" s="22"/>
    </row>
    <row r="74" spans="1:45" x14ac:dyDescent="0.3">
      <c r="A74" s="22"/>
      <c r="B74" s="71"/>
      <c r="C74" s="22"/>
      <c r="D74" s="23"/>
      <c r="E74" s="22"/>
      <c r="F74" s="22"/>
      <c r="G74" s="22"/>
      <c r="H74" s="23"/>
      <c r="I74" s="22"/>
      <c r="J74" s="22"/>
      <c r="K74" s="22"/>
      <c r="L74" s="23"/>
      <c r="M74" s="71"/>
      <c r="N74" s="71"/>
      <c r="O74" s="22"/>
      <c r="P74" s="22"/>
      <c r="Q74" s="22"/>
      <c r="R74" s="71"/>
      <c r="S74" s="71"/>
      <c r="T74" s="71"/>
      <c r="U74" s="71"/>
      <c r="V74" s="71"/>
      <c r="W74" s="71"/>
      <c r="X74" s="71"/>
      <c r="Y74" s="71"/>
      <c r="Z74" s="71"/>
      <c r="AA74" s="71"/>
      <c r="AB74" s="71"/>
      <c r="AC74" s="22"/>
      <c r="AD74" s="22"/>
      <c r="AE74" s="22"/>
      <c r="AF74" s="22"/>
      <c r="AG74" s="22"/>
      <c r="AH74" s="22"/>
      <c r="AI74" s="22"/>
      <c r="AJ74" s="22"/>
      <c r="AK74" s="22"/>
      <c r="AL74" s="22"/>
      <c r="AM74" s="22"/>
      <c r="AN74" s="22"/>
      <c r="AO74" s="22"/>
      <c r="AP74" s="22"/>
      <c r="AQ74" s="22"/>
      <c r="AR74" s="22"/>
      <c r="AS74" s="22"/>
    </row>
    <row r="75" spans="1:45" x14ac:dyDescent="0.3">
      <c r="A75" s="22"/>
      <c r="B75" s="71"/>
      <c r="C75" s="22"/>
      <c r="D75" s="23"/>
      <c r="E75" s="22"/>
      <c r="F75" s="22"/>
      <c r="G75" s="22"/>
      <c r="H75" s="23"/>
      <c r="I75" s="22"/>
      <c r="J75" s="22"/>
      <c r="K75" s="22"/>
      <c r="L75" s="23"/>
      <c r="M75" s="71"/>
      <c r="N75" s="71"/>
      <c r="O75" s="22"/>
      <c r="P75" s="22"/>
      <c r="Q75" s="22"/>
      <c r="R75" s="71"/>
      <c r="S75" s="71"/>
      <c r="T75" s="71"/>
      <c r="U75" s="71"/>
      <c r="V75" s="71"/>
      <c r="W75" s="71"/>
      <c r="X75" s="71"/>
      <c r="Y75" s="71"/>
      <c r="Z75" s="71"/>
      <c r="AA75" s="71"/>
      <c r="AB75" s="71"/>
      <c r="AC75" s="22"/>
      <c r="AD75" s="22"/>
      <c r="AE75" s="22"/>
      <c r="AF75" s="22"/>
      <c r="AG75" s="22"/>
      <c r="AH75" s="22"/>
      <c r="AI75" s="22"/>
      <c r="AJ75" s="22"/>
      <c r="AK75" s="22"/>
      <c r="AL75" s="22"/>
      <c r="AM75" s="22"/>
      <c r="AN75" s="22"/>
      <c r="AO75" s="22"/>
      <c r="AP75" s="22"/>
      <c r="AQ75" s="22"/>
      <c r="AR75" s="22"/>
      <c r="AS75" s="22"/>
    </row>
    <row r="76" spans="1:45" x14ac:dyDescent="0.3">
      <c r="A76" s="22"/>
      <c r="B76" s="71"/>
      <c r="C76" s="22"/>
      <c r="D76" s="23"/>
      <c r="E76" s="22"/>
      <c r="F76" s="22"/>
      <c r="G76" s="22"/>
      <c r="H76" s="23"/>
      <c r="I76" s="22"/>
      <c r="J76" s="22"/>
      <c r="K76" s="22"/>
      <c r="L76" s="23"/>
      <c r="M76" s="71"/>
      <c r="N76" s="71"/>
      <c r="O76" s="22"/>
      <c r="P76" s="22"/>
      <c r="Q76" s="22"/>
      <c r="R76" s="71"/>
      <c r="S76" s="71"/>
      <c r="T76" s="71"/>
      <c r="U76" s="71"/>
      <c r="V76" s="71"/>
      <c r="W76" s="71"/>
      <c r="X76" s="71"/>
      <c r="Y76" s="71"/>
      <c r="Z76" s="71"/>
      <c r="AA76" s="71"/>
      <c r="AB76" s="71"/>
      <c r="AC76" s="22"/>
      <c r="AD76" s="22"/>
      <c r="AE76" s="22"/>
      <c r="AF76" s="22"/>
      <c r="AG76" s="22"/>
      <c r="AH76" s="22"/>
      <c r="AI76" s="22"/>
      <c r="AJ76" s="22"/>
      <c r="AK76" s="22"/>
      <c r="AL76" s="22"/>
      <c r="AM76" s="22"/>
      <c r="AN76" s="22"/>
      <c r="AO76" s="22"/>
      <c r="AP76" s="22"/>
      <c r="AQ76" s="22"/>
      <c r="AR76" s="22"/>
      <c r="AS76" s="22"/>
    </row>
    <row r="77" spans="1:45" x14ac:dyDescent="0.3">
      <c r="A77" s="22"/>
      <c r="B77" s="71"/>
      <c r="C77" s="22"/>
      <c r="D77" s="23"/>
      <c r="E77" s="22"/>
      <c r="F77" s="22"/>
      <c r="G77" s="22"/>
      <c r="H77" s="23"/>
      <c r="I77" s="22"/>
      <c r="J77" s="22"/>
      <c r="K77" s="22"/>
      <c r="L77" s="23"/>
      <c r="M77" s="71"/>
      <c r="N77" s="71"/>
      <c r="O77" s="22"/>
      <c r="P77" s="22"/>
      <c r="Q77" s="22"/>
      <c r="R77" s="71"/>
      <c r="S77" s="71"/>
      <c r="T77" s="71"/>
      <c r="U77" s="71"/>
      <c r="V77" s="71"/>
      <c r="W77" s="71"/>
      <c r="X77" s="71"/>
      <c r="Y77" s="71"/>
      <c r="Z77" s="71"/>
      <c r="AA77" s="71"/>
      <c r="AB77" s="71"/>
      <c r="AC77" s="22"/>
      <c r="AD77" s="22"/>
      <c r="AE77" s="22"/>
      <c r="AF77" s="22"/>
      <c r="AG77" s="22"/>
      <c r="AH77" s="22"/>
      <c r="AI77" s="22"/>
      <c r="AJ77" s="22"/>
      <c r="AK77" s="22"/>
      <c r="AL77" s="22"/>
      <c r="AM77" s="22"/>
      <c r="AN77" s="22"/>
      <c r="AO77" s="22"/>
      <c r="AP77" s="22"/>
      <c r="AQ77" s="22"/>
      <c r="AR77" s="22"/>
      <c r="AS77" s="22"/>
    </row>
    <row r="78" spans="1:45" x14ac:dyDescent="0.3">
      <c r="A78" s="22"/>
      <c r="B78" s="71"/>
      <c r="C78" s="22"/>
      <c r="D78" s="23"/>
      <c r="E78" s="22"/>
      <c r="F78" s="22"/>
      <c r="G78" s="22"/>
      <c r="H78" s="23"/>
      <c r="I78" s="22"/>
      <c r="J78" s="22"/>
      <c r="K78" s="22"/>
      <c r="L78" s="23"/>
      <c r="M78" s="71"/>
      <c r="N78" s="71"/>
      <c r="O78" s="22"/>
      <c r="P78" s="22"/>
      <c r="Q78" s="22"/>
      <c r="R78" s="71"/>
      <c r="S78" s="71"/>
      <c r="T78" s="71"/>
      <c r="U78" s="71"/>
      <c r="V78" s="71"/>
      <c r="W78" s="71"/>
      <c r="X78" s="71"/>
      <c r="Y78" s="71"/>
      <c r="Z78" s="71"/>
      <c r="AA78" s="71"/>
      <c r="AB78" s="71"/>
      <c r="AC78" s="22"/>
      <c r="AD78" s="22"/>
      <c r="AE78" s="22"/>
      <c r="AF78" s="22"/>
      <c r="AG78" s="22"/>
      <c r="AH78" s="22"/>
      <c r="AI78" s="22"/>
      <c r="AJ78" s="22"/>
      <c r="AK78" s="22"/>
      <c r="AL78" s="22"/>
      <c r="AM78" s="22"/>
      <c r="AN78" s="22"/>
      <c r="AO78" s="22"/>
      <c r="AP78" s="22"/>
      <c r="AQ78" s="22"/>
      <c r="AR78" s="22"/>
      <c r="AS78" s="22"/>
    </row>
    <row r="79" spans="1:45" x14ac:dyDescent="0.3">
      <c r="A79" s="22"/>
      <c r="B79" s="71"/>
      <c r="C79" s="22"/>
      <c r="D79" s="23"/>
      <c r="E79" s="22"/>
      <c r="F79" s="22"/>
      <c r="G79" s="22"/>
      <c r="H79" s="23"/>
      <c r="I79" s="22"/>
      <c r="J79" s="22"/>
      <c r="K79" s="22"/>
      <c r="L79" s="23"/>
      <c r="M79" s="71"/>
      <c r="N79" s="71"/>
      <c r="O79" s="22"/>
      <c r="P79" s="22"/>
      <c r="Q79" s="22"/>
      <c r="R79" s="71"/>
      <c r="S79" s="71"/>
      <c r="T79" s="71"/>
      <c r="U79" s="71"/>
      <c r="V79" s="71"/>
      <c r="W79" s="71"/>
      <c r="X79" s="71"/>
      <c r="Y79" s="71"/>
      <c r="Z79" s="71"/>
      <c r="AA79" s="71"/>
      <c r="AB79" s="71"/>
      <c r="AC79" s="22"/>
      <c r="AD79" s="22"/>
      <c r="AE79" s="22"/>
      <c r="AF79" s="22"/>
      <c r="AG79" s="22"/>
      <c r="AH79" s="22"/>
      <c r="AI79" s="22"/>
      <c r="AJ79" s="22"/>
      <c r="AK79" s="22"/>
      <c r="AL79" s="22"/>
      <c r="AM79" s="22"/>
      <c r="AN79" s="22"/>
      <c r="AO79" s="22"/>
      <c r="AP79" s="22"/>
      <c r="AQ79" s="22"/>
      <c r="AR79" s="22"/>
      <c r="AS79" s="22"/>
    </row>
    <row r="80" spans="1:45" x14ac:dyDescent="0.3">
      <c r="A80" s="22"/>
      <c r="B80" s="71"/>
      <c r="C80" s="22"/>
      <c r="D80" s="23"/>
      <c r="E80" s="22"/>
      <c r="F80" s="22"/>
      <c r="G80" s="22"/>
      <c r="H80" s="23"/>
      <c r="I80" s="22"/>
      <c r="J80" s="22"/>
      <c r="K80" s="22"/>
      <c r="L80" s="23"/>
      <c r="M80" s="71"/>
      <c r="N80" s="71"/>
      <c r="O80" s="22"/>
      <c r="P80" s="22"/>
      <c r="Q80" s="22"/>
      <c r="R80" s="71"/>
      <c r="S80" s="71"/>
      <c r="T80" s="71"/>
      <c r="U80" s="71"/>
      <c r="V80" s="71"/>
      <c r="W80" s="71"/>
      <c r="X80" s="71"/>
      <c r="Y80" s="71"/>
      <c r="Z80" s="71"/>
      <c r="AA80" s="71"/>
      <c r="AB80" s="71"/>
      <c r="AC80" s="22"/>
      <c r="AD80" s="22"/>
      <c r="AE80" s="22"/>
      <c r="AF80" s="22"/>
      <c r="AG80" s="22"/>
      <c r="AH80" s="22"/>
      <c r="AI80" s="22"/>
      <c r="AJ80" s="22"/>
      <c r="AK80" s="22"/>
      <c r="AL80" s="22"/>
      <c r="AM80" s="22"/>
      <c r="AN80" s="22"/>
      <c r="AO80" s="22"/>
      <c r="AP80" s="22"/>
      <c r="AQ80" s="22"/>
      <c r="AR80" s="22"/>
      <c r="AS80" s="22"/>
    </row>
    <row r="81" spans="1:45" x14ac:dyDescent="0.3">
      <c r="A81" s="22"/>
      <c r="B81" s="71"/>
      <c r="C81" s="22"/>
      <c r="D81" s="23"/>
      <c r="E81" s="22"/>
      <c r="F81" s="22"/>
      <c r="G81" s="22"/>
      <c r="H81" s="23"/>
      <c r="I81" s="22"/>
      <c r="J81" s="22"/>
      <c r="K81" s="22"/>
      <c r="L81" s="23"/>
      <c r="M81" s="71"/>
      <c r="N81" s="71"/>
      <c r="O81" s="22"/>
      <c r="P81" s="22"/>
      <c r="Q81" s="22"/>
      <c r="R81" s="71"/>
      <c r="S81" s="71"/>
      <c r="T81" s="71"/>
      <c r="U81" s="71"/>
      <c r="V81" s="71"/>
      <c r="W81" s="71"/>
      <c r="X81" s="71"/>
      <c r="Y81" s="71"/>
      <c r="Z81" s="71"/>
      <c r="AA81" s="71"/>
      <c r="AB81" s="71"/>
      <c r="AC81" s="22"/>
      <c r="AD81" s="22"/>
      <c r="AE81" s="22"/>
      <c r="AF81" s="22"/>
      <c r="AG81" s="22"/>
      <c r="AH81" s="22"/>
      <c r="AI81" s="22"/>
      <c r="AJ81" s="22"/>
      <c r="AK81" s="22"/>
      <c r="AL81" s="22"/>
      <c r="AM81" s="22"/>
      <c r="AN81" s="22"/>
      <c r="AO81" s="22"/>
      <c r="AP81" s="22"/>
      <c r="AQ81" s="22"/>
      <c r="AR81" s="22"/>
      <c r="AS81" s="22"/>
    </row>
    <row r="82" spans="1:45" x14ac:dyDescent="0.3">
      <c r="A82" s="22"/>
      <c r="B82" s="71"/>
      <c r="C82" s="22"/>
      <c r="D82" s="23"/>
      <c r="E82" s="22"/>
      <c r="F82" s="22"/>
      <c r="G82" s="22"/>
      <c r="H82" s="23"/>
      <c r="I82" s="22"/>
      <c r="J82" s="22"/>
      <c r="K82" s="22"/>
      <c r="L82" s="23"/>
      <c r="M82" s="71"/>
      <c r="N82" s="71"/>
      <c r="O82" s="22"/>
      <c r="P82" s="22"/>
      <c r="Q82" s="22"/>
      <c r="R82" s="71"/>
      <c r="S82" s="71"/>
      <c r="T82" s="71"/>
      <c r="U82" s="71"/>
      <c r="V82" s="71"/>
      <c r="W82" s="71"/>
      <c r="X82" s="71"/>
      <c r="Y82" s="71"/>
      <c r="Z82" s="71"/>
      <c r="AA82" s="71"/>
      <c r="AB82" s="71"/>
      <c r="AC82" s="22"/>
      <c r="AD82" s="22"/>
      <c r="AE82" s="22"/>
      <c r="AF82" s="22"/>
      <c r="AG82" s="22"/>
      <c r="AH82" s="22"/>
      <c r="AI82" s="22"/>
      <c r="AJ82" s="22"/>
      <c r="AK82" s="22"/>
      <c r="AL82" s="22"/>
      <c r="AM82" s="22"/>
      <c r="AN82" s="22"/>
      <c r="AO82" s="22"/>
      <c r="AP82" s="22"/>
      <c r="AQ82" s="22"/>
      <c r="AR82" s="22"/>
      <c r="AS82" s="22"/>
    </row>
    <row r="83" spans="1:45" x14ac:dyDescent="0.3">
      <c r="A83" s="22"/>
      <c r="B83" s="71"/>
      <c r="C83" s="22"/>
      <c r="D83" s="23"/>
      <c r="E83" s="22"/>
      <c r="F83" s="22"/>
      <c r="G83" s="22"/>
      <c r="H83" s="23"/>
      <c r="I83" s="22"/>
      <c r="J83" s="22"/>
      <c r="K83" s="22"/>
      <c r="L83" s="23"/>
      <c r="M83" s="71"/>
      <c r="N83" s="71"/>
      <c r="O83" s="22"/>
      <c r="P83" s="22"/>
      <c r="Q83" s="22"/>
      <c r="R83" s="71"/>
      <c r="S83" s="71"/>
      <c r="T83" s="71"/>
      <c r="U83" s="71"/>
      <c r="V83" s="71"/>
      <c r="W83" s="71"/>
      <c r="X83" s="71"/>
      <c r="Y83" s="71"/>
      <c r="Z83" s="71"/>
      <c r="AA83" s="71"/>
      <c r="AB83" s="71"/>
      <c r="AC83" s="22"/>
      <c r="AD83" s="22"/>
      <c r="AE83" s="22"/>
      <c r="AF83" s="22"/>
      <c r="AG83" s="22"/>
      <c r="AH83" s="22"/>
      <c r="AI83" s="22"/>
      <c r="AJ83" s="22"/>
      <c r="AK83" s="22"/>
      <c r="AL83" s="22"/>
      <c r="AM83" s="22"/>
      <c r="AN83" s="22"/>
      <c r="AO83" s="22"/>
      <c r="AP83" s="22"/>
      <c r="AQ83" s="22"/>
      <c r="AR83" s="22"/>
      <c r="AS83" s="22"/>
    </row>
    <row r="84" spans="1:45" x14ac:dyDescent="0.3">
      <c r="A84" s="22"/>
      <c r="B84" s="71"/>
      <c r="C84" s="22"/>
      <c r="D84" s="23"/>
      <c r="E84" s="22"/>
      <c r="F84" s="22"/>
      <c r="G84" s="22"/>
      <c r="H84" s="23"/>
      <c r="I84" s="22"/>
      <c r="J84" s="22"/>
      <c r="K84" s="22"/>
      <c r="L84" s="23"/>
      <c r="M84" s="71"/>
      <c r="N84" s="71"/>
      <c r="O84" s="22"/>
      <c r="P84" s="22"/>
      <c r="Q84" s="22"/>
      <c r="R84" s="71"/>
      <c r="S84" s="71"/>
      <c r="T84" s="71"/>
      <c r="U84" s="71"/>
      <c r="V84" s="71"/>
      <c r="W84" s="71"/>
      <c r="X84" s="71"/>
      <c r="Y84" s="71"/>
      <c r="Z84" s="71"/>
      <c r="AA84" s="71"/>
      <c r="AB84" s="71"/>
      <c r="AC84" s="22"/>
      <c r="AD84" s="22"/>
      <c r="AE84" s="22"/>
      <c r="AF84" s="22"/>
      <c r="AG84" s="22"/>
      <c r="AH84" s="22"/>
      <c r="AI84" s="22"/>
      <c r="AJ84" s="22"/>
      <c r="AK84" s="22"/>
      <c r="AL84" s="22"/>
      <c r="AM84" s="22"/>
      <c r="AN84" s="22"/>
      <c r="AO84" s="22"/>
      <c r="AP84" s="22"/>
      <c r="AQ84" s="22"/>
      <c r="AR84" s="22"/>
      <c r="AS84" s="22"/>
    </row>
    <row r="85" spans="1:45" x14ac:dyDescent="0.3">
      <c r="A85" s="22"/>
      <c r="B85" s="71"/>
      <c r="C85" s="22"/>
      <c r="D85" s="23"/>
      <c r="E85" s="22"/>
      <c r="F85" s="22"/>
      <c r="G85" s="22"/>
      <c r="H85" s="23"/>
      <c r="I85" s="22"/>
      <c r="J85" s="22"/>
      <c r="K85" s="22"/>
      <c r="L85" s="23"/>
      <c r="M85" s="71"/>
      <c r="N85" s="71"/>
      <c r="O85" s="22"/>
      <c r="P85" s="22"/>
      <c r="Q85" s="22"/>
      <c r="R85" s="71"/>
      <c r="S85" s="71"/>
      <c r="T85" s="71"/>
      <c r="U85" s="71"/>
      <c r="V85" s="71"/>
      <c r="W85" s="71"/>
      <c r="X85" s="71"/>
      <c r="Y85" s="71"/>
      <c r="Z85" s="71"/>
      <c r="AA85" s="71"/>
      <c r="AB85" s="71"/>
      <c r="AC85" s="22"/>
      <c r="AD85" s="22"/>
      <c r="AE85" s="22"/>
      <c r="AF85" s="22"/>
      <c r="AG85" s="22"/>
      <c r="AH85" s="22"/>
      <c r="AI85" s="22"/>
      <c r="AJ85" s="22"/>
      <c r="AK85" s="22"/>
      <c r="AL85" s="22"/>
      <c r="AM85" s="22"/>
      <c r="AN85" s="22"/>
      <c r="AO85" s="22"/>
      <c r="AP85" s="22"/>
      <c r="AQ85" s="22"/>
      <c r="AR85" s="22"/>
      <c r="AS85" s="22"/>
    </row>
    <row r="86" spans="1:45" x14ac:dyDescent="0.3">
      <c r="A86" s="22"/>
      <c r="B86" s="71"/>
      <c r="C86" s="22"/>
      <c r="D86" s="23"/>
      <c r="E86" s="22"/>
      <c r="F86" s="22"/>
      <c r="G86" s="22"/>
      <c r="H86" s="23"/>
      <c r="I86" s="22"/>
      <c r="J86" s="22"/>
      <c r="K86" s="22"/>
      <c r="L86" s="23"/>
      <c r="M86" s="71"/>
      <c r="N86" s="71"/>
      <c r="O86" s="22"/>
      <c r="P86" s="22"/>
      <c r="Q86" s="22"/>
      <c r="R86" s="71"/>
      <c r="S86" s="71"/>
      <c r="T86" s="71"/>
      <c r="U86" s="71"/>
      <c r="V86" s="71"/>
      <c r="W86" s="71"/>
      <c r="X86" s="71"/>
      <c r="Y86" s="71"/>
      <c r="Z86" s="71"/>
      <c r="AA86" s="71"/>
      <c r="AB86" s="71"/>
      <c r="AC86" s="22"/>
      <c r="AD86" s="22"/>
      <c r="AE86" s="22"/>
      <c r="AF86" s="22"/>
      <c r="AG86" s="22"/>
      <c r="AH86" s="22"/>
      <c r="AI86" s="22"/>
      <c r="AJ86" s="22"/>
      <c r="AK86" s="22"/>
      <c r="AL86" s="22"/>
      <c r="AM86" s="22"/>
      <c r="AN86" s="22"/>
      <c r="AO86" s="22"/>
      <c r="AP86" s="22"/>
      <c r="AQ86" s="22"/>
      <c r="AR86" s="22"/>
      <c r="AS86" s="22"/>
    </row>
    <row r="87" spans="1:45" x14ac:dyDescent="0.3">
      <c r="A87" s="22"/>
      <c r="B87" s="71"/>
      <c r="C87" s="22"/>
      <c r="D87" s="23"/>
      <c r="E87" s="22"/>
      <c r="F87" s="22"/>
      <c r="G87" s="22"/>
      <c r="H87" s="23"/>
      <c r="I87" s="22"/>
      <c r="J87" s="22"/>
      <c r="K87" s="22"/>
      <c r="L87" s="23"/>
      <c r="M87" s="71"/>
      <c r="N87" s="71"/>
      <c r="O87" s="22"/>
      <c r="P87" s="22"/>
      <c r="Q87" s="22"/>
      <c r="R87" s="71"/>
      <c r="S87" s="71"/>
      <c r="T87" s="71"/>
      <c r="U87" s="71"/>
      <c r="V87" s="71"/>
      <c r="W87" s="71"/>
      <c r="X87" s="71"/>
      <c r="Y87" s="71"/>
      <c r="Z87" s="71"/>
      <c r="AA87" s="71"/>
      <c r="AB87" s="71"/>
      <c r="AC87" s="22"/>
      <c r="AD87" s="22"/>
      <c r="AE87" s="22"/>
      <c r="AF87" s="22"/>
      <c r="AG87" s="22"/>
      <c r="AH87" s="22"/>
      <c r="AI87" s="22"/>
      <c r="AJ87" s="22"/>
      <c r="AK87" s="22"/>
      <c r="AL87" s="22"/>
      <c r="AM87" s="22"/>
      <c r="AN87" s="22"/>
      <c r="AO87" s="22"/>
      <c r="AP87" s="22"/>
      <c r="AQ87" s="22"/>
      <c r="AR87" s="22"/>
      <c r="AS87" s="22"/>
    </row>
    <row r="88" spans="1:45" x14ac:dyDescent="0.3">
      <c r="A88" s="22"/>
      <c r="B88" s="71"/>
      <c r="C88" s="22"/>
      <c r="D88" s="23"/>
      <c r="E88" s="22"/>
      <c r="F88" s="22"/>
      <c r="G88" s="22"/>
      <c r="H88" s="23"/>
      <c r="I88" s="22"/>
      <c r="J88" s="22"/>
      <c r="K88" s="22"/>
      <c r="L88" s="23"/>
      <c r="M88" s="71"/>
      <c r="N88" s="71"/>
      <c r="O88" s="22"/>
      <c r="P88" s="22"/>
      <c r="Q88" s="22"/>
      <c r="R88" s="71"/>
      <c r="S88" s="71"/>
      <c r="T88" s="71"/>
      <c r="U88" s="71"/>
      <c r="V88" s="71"/>
      <c r="W88" s="71"/>
      <c r="X88" s="71"/>
      <c r="Y88" s="71"/>
      <c r="Z88" s="71"/>
      <c r="AA88" s="71"/>
      <c r="AB88" s="71"/>
      <c r="AC88" s="22"/>
      <c r="AD88" s="22"/>
      <c r="AE88" s="22"/>
      <c r="AF88" s="22"/>
      <c r="AG88" s="22"/>
      <c r="AH88" s="22"/>
      <c r="AI88" s="22"/>
      <c r="AJ88" s="22"/>
      <c r="AK88" s="22"/>
      <c r="AL88" s="22"/>
      <c r="AM88" s="22"/>
      <c r="AN88" s="22"/>
      <c r="AO88" s="22"/>
      <c r="AP88" s="22"/>
      <c r="AQ88" s="22"/>
      <c r="AR88" s="22"/>
      <c r="AS88" s="22"/>
    </row>
    <row r="89" spans="1:45" x14ac:dyDescent="0.3">
      <c r="A89" s="22"/>
      <c r="B89" s="71"/>
      <c r="C89" s="22"/>
      <c r="D89" s="23"/>
      <c r="E89" s="22"/>
      <c r="F89" s="22"/>
      <c r="G89" s="22"/>
      <c r="H89" s="23"/>
      <c r="I89" s="22"/>
      <c r="J89" s="22"/>
      <c r="K89" s="22"/>
      <c r="L89" s="23"/>
      <c r="M89" s="71"/>
      <c r="N89" s="71"/>
      <c r="O89" s="22"/>
      <c r="P89" s="22"/>
      <c r="Q89" s="22"/>
      <c r="R89" s="71"/>
      <c r="S89" s="71"/>
      <c r="T89" s="71"/>
      <c r="U89" s="71"/>
      <c r="V89" s="71"/>
      <c r="W89" s="71"/>
      <c r="X89" s="71"/>
      <c r="Y89" s="71"/>
      <c r="Z89" s="71"/>
      <c r="AA89" s="71"/>
      <c r="AB89" s="71"/>
      <c r="AC89" s="22"/>
      <c r="AD89" s="22"/>
      <c r="AE89" s="22"/>
      <c r="AF89" s="22"/>
      <c r="AG89" s="22"/>
      <c r="AH89" s="22"/>
      <c r="AI89" s="22"/>
      <c r="AJ89" s="22"/>
      <c r="AK89" s="22"/>
      <c r="AL89" s="22"/>
      <c r="AM89" s="22"/>
      <c r="AN89" s="22"/>
      <c r="AO89" s="22"/>
      <c r="AP89" s="22"/>
      <c r="AQ89" s="22"/>
      <c r="AR89" s="22"/>
      <c r="AS89" s="22"/>
    </row>
    <row r="90" spans="1:45" x14ac:dyDescent="0.3">
      <c r="A90" s="22"/>
      <c r="B90" s="71"/>
      <c r="C90" s="22"/>
      <c r="D90" s="23"/>
      <c r="E90" s="22"/>
      <c r="F90" s="22"/>
      <c r="G90" s="22"/>
      <c r="H90" s="23"/>
      <c r="I90" s="22"/>
      <c r="J90" s="22"/>
      <c r="K90" s="22"/>
      <c r="L90" s="23"/>
      <c r="M90" s="71"/>
      <c r="N90" s="71"/>
      <c r="O90" s="22"/>
      <c r="P90" s="22"/>
      <c r="Q90" s="22"/>
      <c r="R90" s="71"/>
      <c r="S90" s="71"/>
      <c r="T90" s="71"/>
      <c r="U90" s="71"/>
      <c r="V90" s="71"/>
      <c r="W90" s="71"/>
      <c r="X90" s="71"/>
      <c r="Y90" s="71"/>
      <c r="Z90" s="71"/>
      <c r="AA90" s="71"/>
      <c r="AB90" s="71"/>
      <c r="AC90" s="22"/>
      <c r="AD90" s="22"/>
      <c r="AE90" s="22"/>
      <c r="AF90" s="22"/>
      <c r="AG90" s="22"/>
      <c r="AH90" s="22"/>
      <c r="AI90" s="22"/>
      <c r="AJ90" s="22"/>
      <c r="AK90" s="22"/>
      <c r="AL90" s="22"/>
      <c r="AM90" s="22"/>
      <c r="AN90" s="22"/>
      <c r="AO90" s="22"/>
      <c r="AP90" s="22"/>
      <c r="AQ90" s="22"/>
      <c r="AR90" s="22"/>
      <c r="AS90" s="22"/>
    </row>
    <row r="91" spans="1:45" x14ac:dyDescent="0.3">
      <c r="A91" s="22"/>
      <c r="B91" s="71"/>
      <c r="C91" s="22"/>
      <c r="D91" s="23"/>
      <c r="E91" s="22"/>
      <c r="F91" s="22"/>
      <c r="G91" s="22"/>
      <c r="H91" s="23"/>
      <c r="I91" s="22"/>
      <c r="J91" s="22"/>
      <c r="K91" s="22"/>
      <c r="L91" s="23"/>
      <c r="M91" s="71"/>
      <c r="N91" s="71"/>
      <c r="O91" s="22"/>
      <c r="P91" s="22"/>
      <c r="Q91" s="22"/>
      <c r="R91" s="71"/>
      <c r="S91" s="71"/>
      <c r="T91" s="71"/>
      <c r="U91" s="71"/>
      <c r="V91" s="71"/>
      <c r="W91" s="71"/>
      <c r="X91" s="71"/>
      <c r="Y91" s="71"/>
      <c r="Z91" s="71"/>
      <c r="AA91" s="71"/>
      <c r="AB91" s="71"/>
      <c r="AC91" s="22"/>
      <c r="AD91" s="22"/>
      <c r="AE91" s="22"/>
      <c r="AF91" s="22"/>
      <c r="AG91" s="22"/>
      <c r="AH91" s="22"/>
      <c r="AI91" s="22"/>
      <c r="AJ91" s="22"/>
      <c r="AK91" s="22"/>
      <c r="AL91" s="22"/>
      <c r="AM91" s="22"/>
      <c r="AN91" s="22"/>
      <c r="AO91" s="22"/>
      <c r="AP91" s="22"/>
      <c r="AQ91" s="22"/>
      <c r="AR91" s="22"/>
      <c r="AS91" s="22"/>
    </row>
    <row r="92" spans="1:45" x14ac:dyDescent="0.3">
      <c r="A92" s="22"/>
      <c r="B92" s="71"/>
      <c r="C92" s="22"/>
      <c r="D92" s="23"/>
      <c r="E92" s="22"/>
      <c r="F92" s="22"/>
      <c r="G92" s="22"/>
      <c r="H92" s="23"/>
      <c r="I92" s="22"/>
      <c r="J92" s="22"/>
      <c r="K92" s="22"/>
      <c r="L92" s="23"/>
      <c r="M92" s="71"/>
      <c r="N92" s="71"/>
      <c r="O92" s="22"/>
      <c r="P92" s="22"/>
      <c r="Q92" s="22"/>
      <c r="R92" s="71"/>
      <c r="S92" s="71"/>
      <c r="T92" s="71"/>
      <c r="U92" s="71"/>
      <c r="V92" s="71"/>
      <c r="W92" s="71"/>
      <c r="X92" s="71"/>
      <c r="Y92" s="71"/>
      <c r="Z92" s="71"/>
      <c r="AA92" s="71"/>
      <c r="AB92" s="71"/>
      <c r="AC92" s="22"/>
      <c r="AD92" s="22"/>
      <c r="AE92" s="22"/>
      <c r="AF92" s="22"/>
      <c r="AG92" s="22"/>
      <c r="AH92" s="22"/>
      <c r="AI92" s="22"/>
      <c r="AJ92" s="22"/>
      <c r="AK92" s="22"/>
      <c r="AL92" s="22"/>
      <c r="AM92" s="22"/>
      <c r="AN92" s="22"/>
      <c r="AO92" s="22"/>
      <c r="AP92" s="22"/>
      <c r="AQ92" s="22"/>
      <c r="AR92" s="22"/>
      <c r="AS92" s="22"/>
    </row>
    <row r="93" spans="1:45" x14ac:dyDescent="0.3">
      <c r="A93" s="22"/>
      <c r="B93" s="71"/>
      <c r="C93" s="22"/>
      <c r="D93" s="23"/>
      <c r="E93" s="22"/>
      <c r="F93" s="22"/>
      <c r="G93" s="22"/>
      <c r="H93" s="23"/>
      <c r="I93" s="22"/>
      <c r="J93" s="22"/>
      <c r="K93" s="22"/>
      <c r="L93" s="23"/>
      <c r="M93" s="71"/>
      <c r="N93" s="71"/>
      <c r="O93" s="22"/>
      <c r="P93" s="22"/>
      <c r="Q93" s="22"/>
      <c r="R93" s="71"/>
      <c r="S93" s="71"/>
      <c r="T93" s="71"/>
      <c r="U93" s="71"/>
      <c r="V93" s="71"/>
      <c r="W93" s="71"/>
      <c r="X93" s="71"/>
      <c r="Y93" s="71"/>
      <c r="Z93" s="71"/>
      <c r="AA93" s="71"/>
      <c r="AB93" s="71"/>
      <c r="AC93" s="22"/>
      <c r="AD93" s="22"/>
      <c r="AE93" s="22"/>
      <c r="AF93" s="22"/>
      <c r="AG93" s="22"/>
      <c r="AH93" s="22"/>
      <c r="AI93" s="22"/>
      <c r="AJ93" s="22"/>
      <c r="AK93" s="22"/>
      <c r="AL93" s="22"/>
      <c r="AM93" s="22"/>
      <c r="AN93" s="22"/>
      <c r="AO93" s="22"/>
      <c r="AP93" s="22"/>
      <c r="AQ93" s="22"/>
      <c r="AR93" s="22"/>
      <c r="AS93" s="22"/>
    </row>
    <row r="94" spans="1:45" x14ac:dyDescent="0.3">
      <c r="A94" s="22"/>
      <c r="B94" s="71"/>
      <c r="C94" s="22"/>
      <c r="D94" s="23"/>
      <c r="E94" s="22"/>
      <c r="F94" s="22"/>
      <c r="G94" s="22"/>
      <c r="H94" s="23"/>
      <c r="I94" s="22"/>
      <c r="J94" s="22"/>
      <c r="K94" s="22"/>
      <c r="L94" s="23"/>
      <c r="M94" s="71"/>
      <c r="N94" s="71"/>
      <c r="O94" s="22"/>
      <c r="P94" s="22"/>
      <c r="Q94" s="22"/>
      <c r="R94" s="71"/>
      <c r="S94" s="71"/>
      <c r="T94" s="71"/>
      <c r="U94" s="71"/>
      <c r="V94" s="71"/>
      <c r="W94" s="71"/>
      <c r="X94" s="71"/>
      <c r="Y94" s="71"/>
      <c r="Z94" s="71"/>
      <c r="AA94" s="71"/>
      <c r="AB94" s="71"/>
      <c r="AC94" s="22"/>
      <c r="AD94" s="22"/>
      <c r="AE94" s="22"/>
      <c r="AF94" s="22"/>
      <c r="AG94" s="22"/>
      <c r="AH94" s="22"/>
      <c r="AI94" s="22"/>
      <c r="AJ94" s="22"/>
      <c r="AK94" s="22"/>
      <c r="AL94" s="22"/>
      <c r="AM94" s="22"/>
      <c r="AN94" s="22"/>
      <c r="AO94" s="22"/>
      <c r="AP94" s="22"/>
      <c r="AQ94" s="22"/>
      <c r="AR94" s="22"/>
      <c r="AS94" s="22"/>
    </row>
    <row r="95" spans="1:45" x14ac:dyDescent="0.3">
      <c r="A95" s="22"/>
      <c r="B95" s="71"/>
      <c r="C95" s="22"/>
      <c r="D95" s="23"/>
      <c r="E95" s="22"/>
      <c r="F95" s="22"/>
      <c r="G95" s="22"/>
      <c r="H95" s="23"/>
      <c r="I95" s="22"/>
      <c r="J95" s="22"/>
      <c r="K95" s="22"/>
      <c r="L95" s="23"/>
      <c r="M95" s="71"/>
      <c r="N95" s="71"/>
      <c r="O95" s="22"/>
      <c r="P95" s="22"/>
      <c r="Q95" s="22"/>
      <c r="R95" s="71"/>
      <c r="S95" s="71"/>
      <c r="T95" s="71"/>
      <c r="U95" s="71"/>
      <c r="V95" s="71"/>
      <c r="W95" s="71"/>
      <c r="X95" s="71"/>
      <c r="Y95" s="71"/>
      <c r="Z95" s="71"/>
      <c r="AA95" s="71"/>
      <c r="AB95" s="71"/>
      <c r="AC95" s="22"/>
      <c r="AD95" s="22"/>
      <c r="AE95" s="22"/>
      <c r="AF95" s="22"/>
      <c r="AG95" s="22"/>
      <c r="AH95" s="22"/>
      <c r="AI95" s="22"/>
      <c r="AJ95" s="22"/>
      <c r="AK95" s="22"/>
      <c r="AL95" s="22"/>
      <c r="AM95" s="22"/>
      <c r="AN95" s="22"/>
      <c r="AO95" s="22"/>
      <c r="AP95" s="22"/>
      <c r="AQ95" s="22"/>
      <c r="AR95" s="22"/>
      <c r="AS95" s="22"/>
    </row>
    <row r="96" spans="1:45" x14ac:dyDescent="0.3">
      <c r="A96" s="22"/>
      <c r="B96" s="71"/>
      <c r="C96" s="22"/>
      <c r="D96" s="23"/>
      <c r="E96" s="22"/>
      <c r="F96" s="22"/>
      <c r="G96" s="22"/>
      <c r="H96" s="23"/>
      <c r="I96" s="22"/>
      <c r="J96" s="22"/>
      <c r="K96" s="22"/>
      <c r="L96" s="23"/>
      <c r="M96" s="71"/>
      <c r="N96" s="71"/>
      <c r="O96" s="22"/>
      <c r="P96" s="22"/>
      <c r="Q96" s="22"/>
      <c r="R96" s="71"/>
      <c r="S96" s="71"/>
      <c r="T96" s="71"/>
      <c r="U96" s="71"/>
      <c r="V96" s="71"/>
      <c r="W96" s="71"/>
      <c r="X96" s="71"/>
      <c r="Y96" s="71"/>
      <c r="Z96" s="71"/>
      <c r="AA96" s="71"/>
      <c r="AB96" s="71"/>
      <c r="AC96" s="22"/>
      <c r="AD96" s="22"/>
      <c r="AE96" s="22"/>
      <c r="AF96" s="22"/>
      <c r="AG96" s="22"/>
      <c r="AH96" s="22"/>
      <c r="AI96" s="22"/>
      <c r="AJ96" s="22"/>
      <c r="AK96" s="22"/>
      <c r="AL96" s="22"/>
      <c r="AM96" s="22"/>
      <c r="AN96" s="22"/>
      <c r="AO96" s="22"/>
      <c r="AP96" s="22"/>
      <c r="AQ96" s="22"/>
      <c r="AR96" s="22"/>
      <c r="AS96" s="22"/>
    </row>
    <row r="97" spans="1:45" x14ac:dyDescent="0.3">
      <c r="A97" s="22"/>
      <c r="B97" s="71"/>
      <c r="C97" s="22"/>
      <c r="D97" s="23"/>
      <c r="E97" s="22"/>
      <c r="F97" s="22"/>
      <c r="G97" s="22"/>
      <c r="H97" s="23"/>
      <c r="I97" s="22"/>
      <c r="J97" s="22"/>
      <c r="K97" s="22"/>
      <c r="L97" s="23"/>
      <c r="M97" s="71"/>
      <c r="N97" s="71"/>
      <c r="O97" s="22"/>
      <c r="P97" s="22"/>
      <c r="Q97" s="22"/>
      <c r="R97" s="71"/>
      <c r="S97" s="71"/>
      <c r="T97" s="71"/>
      <c r="U97" s="71"/>
      <c r="V97" s="71"/>
      <c r="W97" s="71"/>
      <c r="X97" s="71"/>
      <c r="Y97" s="71"/>
      <c r="Z97" s="71"/>
      <c r="AA97" s="71"/>
      <c r="AB97" s="71"/>
      <c r="AC97" s="22"/>
      <c r="AD97" s="22"/>
      <c r="AE97" s="22"/>
      <c r="AF97" s="22"/>
      <c r="AG97" s="22"/>
      <c r="AH97" s="22"/>
      <c r="AI97" s="22"/>
      <c r="AJ97" s="22"/>
      <c r="AK97" s="22"/>
      <c r="AL97" s="22"/>
      <c r="AM97" s="22"/>
      <c r="AN97" s="22"/>
      <c r="AO97" s="22"/>
      <c r="AP97" s="22"/>
      <c r="AQ97" s="22"/>
      <c r="AR97" s="22"/>
      <c r="AS97" s="22"/>
    </row>
    <row r="98" spans="1:45" x14ac:dyDescent="0.3">
      <c r="A98" s="22"/>
      <c r="B98" s="71"/>
      <c r="C98" s="22"/>
      <c r="D98" s="23"/>
      <c r="E98" s="22"/>
      <c r="F98" s="22"/>
      <c r="G98" s="22"/>
      <c r="H98" s="23"/>
      <c r="I98" s="22"/>
      <c r="J98" s="22"/>
      <c r="K98" s="22"/>
      <c r="L98" s="23"/>
      <c r="M98" s="71"/>
      <c r="N98" s="71"/>
      <c r="O98" s="22"/>
      <c r="P98" s="22"/>
      <c r="Q98" s="22"/>
      <c r="R98" s="71"/>
      <c r="S98" s="71"/>
      <c r="T98" s="71"/>
      <c r="U98" s="71"/>
      <c r="V98" s="71"/>
      <c r="W98" s="71"/>
      <c r="X98" s="71"/>
      <c r="Y98" s="71"/>
      <c r="Z98" s="71"/>
      <c r="AA98" s="71"/>
      <c r="AB98" s="71"/>
      <c r="AC98" s="22"/>
      <c r="AD98" s="22"/>
      <c r="AE98" s="22"/>
      <c r="AF98" s="22"/>
      <c r="AG98" s="22"/>
      <c r="AH98" s="22"/>
      <c r="AI98" s="22"/>
      <c r="AJ98" s="22"/>
      <c r="AK98" s="22"/>
      <c r="AL98" s="22"/>
      <c r="AM98" s="22"/>
      <c r="AN98" s="22"/>
      <c r="AO98" s="22"/>
      <c r="AP98" s="22"/>
      <c r="AQ98" s="22"/>
      <c r="AR98" s="22"/>
      <c r="AS98" s="22"/>
    </row>
    <row r="99" spans="1:45" x14ac:dyDescent="0.3">
      <c r="A99" s="22"/>
      <c r="B99" s="71"/>
      <c r="C99" s="22"/>
      <c r="D99" s="23"/>
      <c r="E99" s="22"/>
      <c r="F99" s="22"/>
      <c r="G99" s="22"/>
      <c r="H99" s="23"/>
      <c r="I99" s="22"/>
      <c r="J99" s="22"/>
      <c r="K99" s="22"/>
      <c r="L99" s="23"/>
      <c r="M99" s="71"/>
      <c r="N99" s="71"/>
      <c r="O99" s="22"/>
      <c r="P99" s="22"/>
      <c r="Q99" s="22"/>
      <c r="R99" s="71"/>
      <c r="S99" s="71"/>
      <c r="T99" s="71"/>
      <c r="U99" s="71"/>
      <c r="V99" s="71"/>
      <c r="W99" s="71"/>
      <c r="X99" s="71"/>
      <c r="Y99" s="71"/>
      <c r="Z99" s="71"/>
      <c r="AA99" s="71"/>
      <c r="AB99" s="71"/>
      <c r="AC99" s="22"/>
      <c r="AD99" s="22"/>
      <c r="AE99" s="22"/>
      <c r="AF99" s="22"/>
      <c r="AG99" s="22"/>
      <c r="AH99" s="22"/>
      <c r="AI99" s="22"/>
      <c r="AJ99" s="22"/>
      <c r="AK99" s="22"/>
      <c r="AL99" s="22"/>
      <c r="AM99" s="22"/>
      <c r="AN99" s="22"/>
      <c r="AO99" s="22"/>
      <c r="AP99" s="22"/>
      <c r="AQ99" s="22"/>
      <c r="AR99" s="22"/>
      <c r="AS99" s="22"/>
    </row>
    <row r="100" spans="1:45" x14ac:dyDescent="0.3">
      <c r="A100" s="22"/>
      <c r="B100" s="71"/>
      <c r="C100" s="22"/>
      <c r="D100" s="23"/>
      <c r="E100" s="22"/>
      <c r="F100" s="22"/>
      <c r="G100" s="22"/>
      <c r="H100" s="23"/>
      <c r="I100" s="22"/>
      <c r="J100" s="22"/>
      <c r="K100" s="22"/>
      <c r="L100" s="23"/>
      <c r="M100" s="71"/>
      <c r="N100" s="71"/>
      <c r="O100" s="22"/>
      <c r="P100" s="22"/>
      <c r="Q100" s="22"/>
      <c r="R100" s="71"/>
      <c r="S100" s="71"/>
      <c r="T100" s="71"/>
      <c r="U100" s="71"/>
      <c r="V100" s="71"/>
      <c r="W100" s="71"/>
      <c r="X100" s="71"/>
      <c r="Y100" s="71"/>
      <c r="Z100" s="71"/>
      <c r="AA100" s="71"/>
      <c r="AB100" s="71"/>
      <c r="AC100" s="22"/>
      <c r="AD100" s="22"/>
      <c r="AE100" s="22"/>
      <c r="AF100" s="22"/>
      <c r="AG100" s="22"/>
      <c r="AH100" s="22"/>
      <c r="AI100" s="22"/>
      <c r="AJ100" s="22"/>
      <c r="AK100" s="22"/>
      <c r="AL100" s="22"/>
      <c r="AM100" s="22"/>
      <c r="AN100" s="22"/>
      <c r="AO100" s="22"/>
      <c r="AP100" s="22"/>
      <c r="AQ100" s="22"/>
      <c r="AR100" s="22"/>
      <c r="AS100" s="22"/>
    </row>
    <row r="101" spans="1:45" x14ac:dyDescent="0.3">
      <c r="A101" s="22"/>
      <c r="B101" s="71"/>
      <c r="C101" s="22"/>
      <c r="D101" s="23"/>
      <c r="E101" s="22"/>
      <c r="F101" s="22"/>
      <c r="G101" s="22"/>
      <c r="H101" s="23"/>
      <c r="I101" s="22"/>
      <c r="J101" s="22"/>
      <c r="K101" s="22"/>
      <c r="L101" s="23"/>
      <c r="M101" s="71"/>
      <c r="N101" s="71"/>
      <c r="O101" s="22"/>
      <c r="P101" s="22"/>
      <c r="Q101" s="22"/>
      <c r="R101" s="71"/>
      <c r="S101" s="71"/>
      <c r="T101" s="71"/>
      <c r="U101" s="71"/>
      <c r="V101" s="71"/>
      <c r="W101" s="71"/>
      <c r="X101" s="71"/>
      <c r="Y101" s="71"/>
      <c r="Z101" s="71"/>
      <c r="AA101" s="71"/>
      <c r="AB101" s="71"/>
      <c r="AC101" s="22"/>
      <c r="AD101" s="22"/>
      <c r="AE101" s="22"/>
      <c r="AF101" s="22"/>
      <c r="AG101" s="22"/>
      <c r="AH101" s="22"/>
      <c r="AI101" s="22"/>
      <c r="AJ101" s="22"/>
      <c r="AK101" s="22"/>
      <c r="AL101" s="22"/>
      <c r="AM101" s="22"/>
      <c r="AN101" s="22"/>
      <c r="AO101" s="22"/>
      <c r="AP101" s="22"/>
      <c r="AQ101" s="22"/>
      <c r="AR101" s="22"/>
      <c r="AS101" s="22"/>
    </row>
    <row r="102" spans="1:45" x14ac:dyDescent="0.3">
      <c r="A102" s="22"/>
      <c r="B102" s="71"/>
      <c r="C102" s="22"/>
      <c r="D102" s="23"/>
      <c r="E102" s="22"/>
      <c r="F102" s="22"/>
      <c r="G102" s="22"/>
      <c r="H102" s="23"/>
      <c r="I102" s="22"/>
      <c r="J102" s="22"/>
      <c r="K102" s="22"/>
      <c r="L102" s="23"/>
      <c r="M102" s="71"/>
      <c r="N102" s="71"/>
      <c r="O102" s="22"/>
      <c r="P102" s="22"/>
      <c r="Q102" s="22"/>
      <c r="R102" s="71"/>
      <c r="S102" s="71"/>
      <c r="T102" s="71"/>
      <c r="U102" s="71"/>
      <c r="V102" s="71"/>
      <c r="W102" s="71"/>
      <c r="X102" s="71"/>
      <c r="Y102" s="71"/>
      <c r="Z102" s="71"/>
      <c r="AA102" s="71"/>
      <c r="AB102" s="71"/>
      <c r="AC102" s="22"/>
      <c r="AD102" s="22"/>
      <c r="AE102" s="22"/>
      <c r="AF102" s="22"/>
      <c r="AG102" s="22"/>
      <c r="AH102" s="22"/>
      <c r="AI102" s="22"/>
      <c r="AJ102" s="22"/>
      <c r="AK102" s="22"/>
      <c r="AL102" s="22"/>
      <c r="AM102" s="22"/>
      <c r="AN102" s="22"/>
      <c r="AO102" s="22"/>
      <c r="AP102" s="22"/>
      <c r="AQ102" s="22"/>
      <c r="AR102" s="22"/>
      <c r="AS102" s="22"/>
    </row>
    <row r="103" spans="1:45" x14ac:dyDescent="0.3">
      <c r="A103" s="22"/>
      <c r="B103" s="71"/>
      <c r="C103" s="22"/>
      <c r="D103" s="23"/>
      <c r="E103" s="22"/>
      <c r="F103" s="22"/>
      <c r="G103" s="22"/>
      <c r="H103" s="23"/>
      <c r="I103" s="22"/>
      <c r="J103" s="22"/>
      <c r="K103" s="22"/>
      <c r="L103" s="23"/>
      <c r="M103" s="71"/>
      <c r="N103" s="71"/>
      <c r="O103" s="22"/>
      <c r="P103" s="22"/>
      <c r="Q103" s="22"/>
      <c r="R103" s="71"/>
      <c r="S103" s="71"/>
      <c r="T103" s="71"/>
      <c r="U103" s="71"/>
      <c r="V103" s="71"/>
      <c r="W103" s="71"/>
      <c r="X103" s="71"/>
      <c r="Y103" s="71"/>
      <c r="Z103" s="71"/>
      <c r="AA103" s="71"/>
      <c r="AB103" s="71"/>
      <c r="AC103" s="22"/>
      <c r="AD103" s="22"/>
      <c r="AE103" s="22"/>
      <c r="AF103" s="22"/>
      <c r="AG103" s="22"/>
      <c r="AH103" s="22"/>
      <c r="AI103" s="22"/>
      <c r="AJ103" s="22"/>
      <c r="AK103" s="22"/>
      <c r="AL103" s="22"/>
      <c r="AM103" s="22"/>
      <c r="AN103" s="22"/>
      <c r="AO103" s="22"/>
      <c r="AP103" s="22"/>
      <c r="AQ103" s="22"/>
      <c r="AR103" s="22"/>
      <c r="AS103" s="22"/>
    </row>
    <row r="104" spans="1:45" x14ac:dyDescent="0.3">
      <c r="A104" s="22"/>
      <c r="B104" s="71"/>
      <c r="C104" s="22"/>
      <c r="D104" s="23"/>
      <c r="E104" s="22"/>
      <c r="F104" s="22"/>
      <c r="G104" s="22"/>
      <c r="H104" s="23"/>
      <c r="I104" s="22"/>
      <c r="J104" s="22"/>
      <c r="K104" s="22"/>
      <c r="L104" s="23"/>
      <c r="M104" s="71"/>
      <c r="N104" s="71"/>
      <c r="O104" s="22"/>
      <c r="P104" s="22"/>
      <c r="Q104" s="22"/>
      <c r="R104" s="71"/>
      <c r="S104" s="71"/>
      <c r="T104" s="71"/>
      <c r="U104" s="71"/>
      <c r="V104" s="71"/>
      <c r="W104" s="71"/>
      <c r="X104" s="71"/>
      <c r="Y104" s="71"/>
      <c r="Z104" s="71"/>
      <c r="AA104" s="71"/>
      <c r="AB104" s="71"/>
      <c r="AC104" s="22"/>
      <c r="AD104" s="22"/>
      <c r="AE104" s="22"/>
      <c r="AF104" s="22"/>
      <c r="AG104" s="22"/>
      <c r="AH104" s="22"/>
      <c r="AI104" s="22"/>
      <c r="AJ104" s="22"/>
      <c r="AK104" s="22"/>
      <c r="AL104" s="22"/>
      <c r="AM104" s="22"/>
      <c r="AN104" s="22"/>
      <c r="AO104" s="22"/>
      <c r="AP104" s="22"/>
      <c r="AQ104" s="22"/>
      <c r="AR104" s="22"/>
      <c r="AS104" s="22"/>
    </row>
    <row r="105" spans="1:45" x14ac:dyDescent="0.3">
      <c r="A105" s="22"/>
      <c r="B105" s="71"/>
      <c r="C105" s="22"/>
      <c r="D105" s="23"/>
      <c r="E105" s="22"/>
      <c r="F105" s="22"/>
      <c r="G105" s="22"/>
      <c r="H105" s="23"/>
      <c r="I105" s="22"/>
      <c r="J105" s="22"/>
      <c r="K105" s="22"/>
      <c r="L105" s="23"/>
      <c r="M105" s="71"/>
      <c r="N105" s="71"/>
      <c r="O105" s="22"/>
      <c r="P105" s="22"/>
      <c r="Q105" s="22"/>
      <c r="R105" s="71"/>
      <c r="S105" s="71"/>
      <c r="T105" s="71"/>
      <c r="U105" s="71"/>
      <c r="V105" s="71"/>
      <c r="W105" s="71"/>
      <c r="X105" s="71"/>
      <c r="Y105" s="71"/>
      <c r="Z105" s="71"/>
      <c r="AA105" s="71"/>
      <c r="AB105" s="71"/>
      <c r="AC105" s="22"/>
      <c r="AD105" s="22"/>
      <c r="AE105" s="22"/>
      <c r="AF105" s="22"/>
      <c r="AG105" s="22"/>
      <c r="AH105" s="22"/>
      <c r="AI105" s="22"/>
      <c r="AJ105" s="22"/>
      <c r="AK105" s="22"/>
      <c r="AL105" s="22"/>
      <c r="AM105" s="22"/>
      <c r="AN105" s="22"/>
      <c r="AO105" s="22"/>
      <c r="AP105" s="22"/>
      <c r="AQ105" s="22"/>
      <c r="AR105" s="22"/>
      <c r="AS105" s="22"/>
    </row>
    <row r="106" spans="1:45" x14ac:dyDescent="0.3">
      <c r="A106" s="22"/>
      <c r="B106" s="71"/>
      <c r="C106" s="22"/>
      <c r="D106" s="23"/>
      <c r="E106" s="22"/>
      <c r="F106" s="22"/>
      <c r="G106" s="22"/>
      <c r="H106" s="23"/>
      <c r="I106" s="22"/>
      <c r="J106" s="22"/>
      <c r="K106" s="22"/>
      <c r="L106" s="23"/>
      <c r="M106" s="71"/>
      <c r="N106" s="71"/>
      <c r="O106" s="22"/>
      <c r="P106" s="22"/>
      <c r="Q106" s="22"/>
      <c r="R106" s="71"/>
      <c r="S106" s="71"/>
      <c r="T106" s="71"/>
      <c r="U106" s="71"/>
      <c r="V106" s="71"/>
      <c r="W106" s="71"/>
      <c r="X106" s="71"/>
      <c r="Y106" s="71"/>
      <c r="Z106" s="71"/>
      <c r="AA106" s="71"/>
      <c r="AB106" s="71"/>
      <c r="AC106" s="22"/>
      <c r="AD106" s="22"/>
      <c r="AE106" s="22"/>
      <c r="AF106" s="22"/>
      <c r="AG106" s="22"/>
      <c r="AH106" s="22"/>
      <c r="AI106" s="22"/>
      <c r="AJ106" s="22"/>
      <c r="AK106" s="22"/>
      <c r="AL106" s="22"/>
      <c r="AM106" s="22"/>
      <c r="AN106" s="22"/>
      <c r="AO106" s="22"/>
      <c r="AP106" s="22"/>
      <c r="AQ106" s="22"/>
      <c r="AR106" s="22"/>
      <c r="AS106" s="22"/>
    </row>
    <row r="107" spans="1:45" x14ac:dyDescent="0.3">
      <c r="A107" s="22"/>
      <c r="B107" s="71"/>
      <c r="C107" s="22"/>
      <c r="D107" s="23"/>
      <c r="E107" s="22"/>
      <c r="F107" s="22"/>
      <c r="G107" s="22"/>
      <c r="H107" s="23"/>
      <c r="I107" s="22"/>
      <c r="J107" s="22"/>
      <c r="K107" s="22"/>
      <c r="L107" s="23"/>
      <c r="M107" s="71"/>
      <c r="N107" s="71"/>
      <c r="O107" s="22"/>
      <c r="P107" s="22"/>
      <c r="Q107" s="22"/>
      <c r="R107" s="71"/>
      <c r="S107" s="71"/>
      <c r="T107" s="71"/>
      <c r="U107" s="71"/>
      <c r="V107" s="71"/>
      <c r="W107" s="71"/>
      <c r="X107" s="71"/>
      <c r="Y107" s="71"/>
      <c r="Z107" s="71"/>
      <c r="AA107" s="71"/>
      <c r="AB107" s="71"/>
      <c r="AC107" s="22"/>
      <c r="AD107" s="22"/>
      <c r="AE107" s="22"/>
      <c r="AF107" s="22"/>
      <c r="AG107" s="22"/>
      <c r="AH107" s="22"/>
      <c r="AI107" s="22"/>
      <c r="AJ107" s="22"/>
      <c r="AK107" s="22"/>
      <c r="AL107" s="22"/>
      <c r="AM107" s="22"/>
      <c r="AN107" s="22"/>
      <c r="AO107" s="22"/>
      <c r="AP107" s="22"/>
      <c r="AQ107" s="22"/>
      <c r="AR107" s="22"/>
      <c r="AS107" s="22"/>
    </row>
    <row r="108" spans="1:45" x14ac:dyDescent="0.3">
      <c r="A108" s="22"/>
      <c r="B108" s="71"/>
      <c r="C108" s="22"/>
      <c r="D108" s="23"/>
      <c r="E108" s="22"/>
      <c r="F108" s="22"/>
      <c r="G108" s="22"/>
      <c r="H108" s="23"/>
      <c r="I108" s="22"/>
      <c r="J108" s="22"/>
      <c r="K108" s="22"/>
      <c r="L108" s="23"/>
      <c r="M108" s="71"/>
      <c r="N108" s="71"/>
      <c r="O108" s="22"/>
      <c r="P108" s="22"/>
      <c r="Q108" s="22"/>
      <c r="R108" s="71"/>
      <c r="S108" s="71"/>
      <c r="T108" s="71"/>
      <c r="U108" s="71"/>
      <c r="V108" s="71"/>
      <c r="W108" s="71"/>
      <c r="X108" s="71"/>
      <c r="Y108" s="71"/>
      <c r="Z108" s="71"/>
      <c r="AA108" s="71"/>
      <c r="AB108" s="71"/>
      <c r="AC108" s="22"/>
      <c r="AD108" s="22"/>
      <c r="AE108" s="22"/>
      <c r="AF108" s="22"/>
      <c r="AG108" s="22"/>
      <c r="AH108" s="22"/>
      <c r="AI108" s="22"/>
      <c r="AJ108" s="22"/>
      <c r="AK108" s="22"/>
      <c r="AL108" s="22"/>
      <c r="AM108" s="22"/>
      <c r="AN108" s="22"/>
      <c r="AO108" s="22"/>
      <c r="AP108" s="22"/>
      <c r="AQ108" s="22"/>
      <c r="AR108" s="22"/>
      <c r="AS108" s="22"/>
    </row>
    <row r="109" spans="1:45" x14ac:dyDescent="0.3">
      <c r="A109" s="22"/>
      <c r="B109" s="71"/>
      <c r="C109" s="22"/>
      <c r="D109" s="23"/>
      <c r="E109" s="22"/>
      <c r="F109" s="22"/>
      <c r="G109" s="22"/>
      <c r="H109" s="23"/>
      <c r="I109" s="22"/>
      <c r="J109" s="22"/>
      <c r="K109" s="22"/>
      <c r="L109" s="23"/>
      <c r="M109" s="71"/>
      <c r="N109" s="71"/>
      <c r="O109" s="22"/>
      <c r="P109" s="22"/>
      <c r="Q109" s="22"/>
      <c r="R109" s="71"/>
      <c r="S109" s="71"/>
      <c r="T109" s="71"/>
      <c r="U109" s="71"/>
      <c r="V109" s="71"/>
      <c r="W109" s="71"/>
      <c r="X109" s="71"/>
      <c r="Y109" s="71"/>
      <c r="Z109" s="71"/>
      <c r="AA109" s="71"/>
      <c r="AB109" s="71"/>
      <c r="AC109" s="22"/>
      <c r="AD109" s="22"/>
      <c r="AE109" s="22"/>
      <c r="AF109" s="22"/>
      <c r="AG109" s="22"/>
      <c r="AH109" s="22"/>
      <c r="AI109" s="22"/>
      <c r="AJ109" s="22"/>
      <c r="AK109" s="22"/>
      <c r="AL109" s="22"/>
      <c r="AM109" s="22"/>
      <c r="AN109" s="22"/>
      <c r="AO109" s="22"/>
      <c r="AP109" s="22"/>
      <c r="AQ109" s="22"/>
      <c r="AR109" s="22"/>
      <c r="AS109" s="22"/>
    </row>
    <row r="110" spans="1:45" x14ac:dyDescent="0.3">
      <c r="A110" s="22"/>
      <c r="B110" s="71"/>
      <c r="C110" s="22"/>
      <c r="D110" s="23"/>
      <c r="E110" s="22"/>
      <c r="F110" s="22"/>
      <c r="G110" s="22"/>
      <c r="H110" s="23"/>
      <c r="I110" s="22"/>
      <c r="J110" s="22"/>
      <c r="K110" s="22"/>
      <c r="L110" s="23"/>
      <c r="M110" s="71"/>
      <c r="N110" s="71"/>
      <c r="O110" s="22"/>
      <c r="P110" s="22"/>
      <c r="Q110" s="22"/>
      <c r="R110" s="71"/>
      <c r="S110" s="71"/>
      <c r="T110" s="71"/>
      <c r="U110" s="71"/>
      <c r="V110" s="71"/>
      <c r="W110" s="71"/>
      <c r="X110" s="71"/>
      <c r="Y110" s="71"/>
      <c r="Z110" s="71"/>
      <c r="AA110" s="71"/>
      <c r="AB110" s="71"/>
      <c r="AC110" s="22"/>
      <c r="AD110" s="22"/>
      <c r="AE110" s="22"/>
      <c r="AF110" s="22"/>
      <c r="AG110" s="22"/>
      <c r="AH110" s="22"/>
      <c r="AI110" s="22"/>
      <c r="AJ110" s="22"/>
      <c r="AK110" s="22"/>
      <c r="AL110" s="22"/>
      <c r="AM110" s="22"/>
      <c r="AN110" s="22"/>
      <c r="AO110" s="22"/>
      <c r="AP110" s="22"/>
      <c r="AQ110" s="22"/>
      <c r="AR110" s="22"/>
      <c r="AS110" s="22"/>
    </row>
    <row r="111" spans="1:45" x14ac:dyDescent="0.3">
      <c r="A111" s="22"/>
      <c r="B111" s="71"/>
      <c r="C111" s="22"/>
      <c r="D111" s="23"/>
      <c r="E111" s="22"/>
      <c r="F111" s="22"/>
      <c r="G111" s="22"/>
      <c r="H111" s="23"/>
      <c r="I111" s="22"/>
      <c r="J111" s="22"/>
      <c r="K111" s="22"/>
      <c r="L111" s="23"/>
      <c r="M111" s="71"/>
      <c r="N111" s="71"/>
      <c r="O111" s="22"/>
      <c r="P111" s="22"/>
      <c r="Q111" s="22"/>
      <c r="R111" s="71"/>
      <c r="S111" s="71"/>
      <c r="T111" s="71"/>
      <c r="U111" s="71"/>
      <c r="V111" s="71"/>
      <c r="W111" s="71"/>
      <c r="X111" s="71"/>
      <c r="Y111" s="71"/>
      <c r="Z111" s="71"/>
      <c r="AA111" s="71"/>
      <c r="AB111" s="71"/>
      <c r="AC111" s="22"/>
      <c r="AD111" s="22"/>
      <c r="AE111" s="22"/>
      <c r="AF111" s="22"/>
      <c r="AG111" s="22"/>
      <c r="AH111" s="22"/>
      <c r="AI111" s="22"/>
      <c r="AJ111" s="22"/>
      <c r="AK111" s="22"/>
      <c r="AL111" s="22"/>
      <c r="AM111" s="22"/>
      <c r="AN111" s="22"/>
      <c r="AO111" s="22"/>
      <c r="AP111" s="22"/>
      <c r="AQ111" s="22"/>
      <c r="AR111" s="22"/>
      <c r="AS111" s="22"/>
    </row>
    <row r="112" spans="1:45" x14ac:dyDescent="0.3">
      <c r="A112" s="22"/>
      <c r="B112" s="71"/>
      <c r="C112" s="22"/>
      <c r="D112" s="23"/>
      <c r="E112" s="22"/>
      <c r="F112" s="22"/>
      <c r="G112" s="22"/>
      <c r="H112" s="23"/>
      <c r="I112" s="22"/>
      <c r="J112" s="22"/>
      <c r="K112" s="22"/>
      <c r="L112" s="23"/>
      <c r="M112" s="71"/>
      <c r="N112" s="71"/>
      <c r="O112" s="22"/>
      <c r="P112" s="22"/>
      <c r="Q112" s="22"/>
      <c r="R112" s="71"/>
      <c r="S112" s="71"/>
      <c r="T112" s="71"/>
      <c r="U112" s="71"/>
      <c r="V112" s="71"/>
      <c r="W112" s="71"/>
      <c r="X112" s="71"/>
      <c r="Y112" s="71"/>
      <c r="Z112" s="71"/>
      <c r="AA112" s="71"/>
      <c r="AB112" s="71"/>
      <c r="AC112" s="22"/>
      <c r="AD112" s="22"/>
      <c r="AE112" s="22"/>
      <c r="AF112" s="22"/>
      <c r="AG112" s="22"/>
      <c r="AH112" s="22"/>
      <c r="AI112" s="22"/>
      <c r="AJ112" s="22"/>
      <c r="AK112" s="22"/>
      <c r="AL112" s="22"/>
      <c r="AM112" s="22"/>
      <c r="AN112" s="22"/>
      <c r="AO112" s="22"/>
      <c r="AP112" s="22"/>
      <c r="AQ112" s="22"/>
      <c r="AR112" s="22"/>
      <c r="AS112" s="22"/>
    </row>
    <row r="113" spans="1:45" x14ac:dyDescent="0.3">
      <c r="A113" s="22"/>
      <c r="B113" s="71"/>
      <c r="C113" s="22"/>
      <c r="D113" s="23"/>
      <c r="E113" s="22"/>
      <c r="F113" s="22"/>
      <c r="G113" s="22"/>
      <c r="H113" s="23"/>
      <c r="I113" s="22"/>
      <c r="J113" s="22"/>
      <c r="K113" s="22"/>
      <c r="L113" s="23"/>
      <c r="M113" s="71"/>
      <c r="N113" s="71"/>
      <c r="O113" s="22"/>
      <c r="P113" s="22"/>
      <c r="Q113" s="22"/>
      <c r="R113" s="71"/>
      <c r="S113" s="71"/>
      <c r="T113" s="71"/>
      <c r="U113" s="71"/>
      <c r="V113" s="71"/>
      <c r="W113" s="71"/>
      <c r="X113" s="71"/>
      <c r="Y113" s="71"/>
      <c r="Z113" s="71"/>
      <c r="AA113" s="71"/>
      <c r="AB113" s="71"/>
      <c r="AC113" s="22"/>
      <c r="AD113" s="22"/>
      <c r="AE113" s="22"/>
      <c r="AF113" s="22"/>
      <c r="AG113" s="22"/>
      <c r="AH113" s="22"/>
      <c r="AI113" s="22"/>
      <c r="AJ113" s="22"/>
      <c r="AK113" s="22"/>
      <c r="AL113" s="22"/>
      <c r="AM113" s="22"/>
      <c r="AN113" s="22"/>
      <c r="AO113" s="22"/>
      <c r="AP113" s="22"/>
      <c r="AQ113" s="22"/>
      <c r="AR113" s="22"/>
      <c r="AS113" s="22"/>
    </row>
    <row r="114" spans="1:45" x14ac:dyDescent="0.3">
      <c r="A114" s="22"/>
      <c r="B114" s="71"/>
      <c r="C114" s="22"/>
      <c r="D114" s="23"/>
      <c r="E114" s="22"/>
      <c r="F114" s="22"/>
      <c r="G114" s="22"/>
      <c r="H114" s="23"/>
      <c r="I114" s="22"/>
      <c r="J114" s="22"/>
      <c r="K114" s="22"/>
      <c r="L114" s="23"/>
      <c r="M114" s="71"/>
      <c r="N114" s="71"/>
      <c r="O114" s="22"/>
      <c r="P114" s="22"/>
      <c r="Q114" s="22"/>
      <c r="R114" s="71"/>
      <c r="S114" s="71"/>
      <c r="T114" s="71"/>
      <c r="U114" s="71"/>
      <c r="V114" s="71"/>
      <c r="W114" s="71"/>
      <c r="X114" s="71"/>
      <c r="Y114" s="71"/>
      <c r="Z114" s="71"/>
      <c r="AA114" s="71"/>
      <c r="AB114" s="71"/>
      <c r="AC114" s="22"/>
      <c r="AD114" s="22"/>
      <c r="AE114" s="22"/>
      <c r="AF114" s="22"/>
      <c r="AG114" s="22"/>
      <c r="AH114" s="22"/>
      <c r="AI114" s="22"/>
      <c r="AJ114" s="22"/>
      <c r="AK114" s="22"/>
      <c r="AL114" s="22"/>
      <c r="AM114" s="22"/>
      <c r="AN114" s="22"/>
      <c r="AO114" s="22"/>
      <c r="AP114" s="22"/>
      <c r="AQ114" s="22"/>
      <c r="AR114" s="22"/>
      <c r="AS114" s="22"/>
    </row>
    <row r="115" spans="1:45" x14ac:dyDescent="0.3">
      <c r="A115" s="22"/>
      <c r="B115" s="71"/>
      <c r="C115" s="22"/>
      <c r="D115" s="23"/>
      <c r="E115" s="22"/>
      <c r="F115" s="22"/>
      <c r="G115" s="22"/>
      <c r="H115" s="23"/>
      <c r="I115" s="22"/>
      <c r="J115" s="22"/>
      <c r="K115" s="22"/>
      <c r="L115" s="23"/>
      <c r="M115" s="71"/>
      <c r="N115" s="71"/>
      <c r="O115" s="22"/>
      <c r="P115" s="22"/>
      <c r="Q115" s="22"/>
      <c r="R115" s="71"/>
      <c r="S115" s="71"/>
      <c r="T115" s="71"/>
      <c r="U115" s="71"/>
      <c r="V115" s="71"/>
      <c r="W115" s="71"/>
      <c r="X115" s="71"/>
      <c r="Y115" s="71"/>
      <c r="Z115" s="71"/>
      <c r="AA115" s="71"/>
      <c r="AB115" s="71"/>
      <c r="AC115" s="22"/>
      <c r="AD115" s="22"/>
      <c r="AE115" s="22"/>
      <c r="AF115" s="22"/>
      <c r="AG115" s="22"/>
      <c r="AH115" s="22"/>
      <c r="AI115" s="22"/>
      <c r="AJ115" s="22"/>
      <c r="AK115" s="22"/>
      <c r="AL115" s="22"/>
      <c r="AM115" s="22"/>
      <c r="AN115" s="22"/>
      <c r="AO115" s="22"/>
      <c r="AP115" s="22"/>
      <c r="AQ115" s="22"/>
      <c r="AR115" s="22"/>
      <c r="AS115" s="22"/>
    </row>
    <row r="116" spans="1:45" x14ac:dyDescent="0.3">
      <c r="A116" s="22"/>
      <c r="B116" s="71"/>
      <c r="C116" s="22"/>
      <c r="D116" s="23"/>
      <c r="E116" s="22"/>
      <c r="F116" s="22"/>
      <c r="G116" s="22"/>
      <c r="H116" s="23"/>
      <c r="I116" s="22"/>
      <c r="J116" s="22"/>
      <c r="K116" s="22"/>
      <c r="L116" s="23"/>
      <c r="M116" s="71"/>
      <c r="N116" s="71"/>
      <c r="O116" s="22"/>
      <c r="P116" s="22"/>
      <c r="Q116" s="22"/>
      <c r="R116" s="71"/>
      <c r="S116" s="71"/>
      <c r="T116" s="71"/>
      <c r="U116" s="71"/>
      <c r="V116" s="71"/>
      <c r="W116" s="71"/>
      <c r="X116" s="71"/>
      <c r="Y116" s="71"/>
      <c r="Z116" s="71"/>
      <c r="AA116" s="71"/>
      <c r="AB116" s="71"/>
      <c r="AC116" s="22"/>
      <c r="AD116" s="22"/>
      <c r="AE116" s="22"/>
      <c r="AF116" s="22"/>
      <c r="AG116" s="22"/>
      <c r="AH116" s="22"/>
      <c r="AI116" s="22"/>
      <c r="AJ116" s="22"/>
      <c r="AK116" s="22"/>
      <c r="AL116" s="22"/>
      <c r="AM116" s="22"/>
      <c r="AN116" s="22"/>
      <c r="AO116" s="22"/>
      <c r="AP116" s="22"/>
      <c r="AQ116" s="22"/>
      <c r="AR116" s="22"/>
      <c r="AS116" s="22"/>
    </row>
    <row r="117" spans="1:45" x14ac:dyDescent="0.3">
      <c r="A117" s="22"/>
      <c r="B117" s="71"/>
      <c r="C117" s="22"/>
      <c r="D117" s="23"/>
      <c r="E117" s="22"/>
      <c r="F117" s="22"/>
      <c r="G117" s="22"/>
      <c r="H117" s="23"/>
      <c r="I117" s="22"/>
      <c r="J117" s="22"/>
      <c r="K117" s="22"/>
      <c r="L117" s="23"/>
      <c r="M117" s="71"/>
      <c r="N117" s="71"/>
      <c r="O117" s="22"/>
      <c r="P117" s="22"/>
      <c r="Q117" s="22"/>
      <c r="R117" s="71"/>
      <c r="S117" s="71"/>
      <c r="T117" s="71"/>
      <c r="U117" s="71"/>
      <c r="V117" s="71"/>
      <c r="W117" s="71"/>
      <c r="X117" s="71"/>
      <c r="Y117" s="71"/>
      <c r="Z117" s="71"/>
      <c r="AA117" s="71"/>
      <c r="AB117" s="71"/>
      <c r="AC117" s="22"/>
      <c r="AD117" s="22"/>
      <c r="AE117" s="22"/>
      <c r="AF117" s="22"/>
      <c r="AG117" s="22"/>
      <c r="AH117" s="22"/>
      <c r="AI117" s="22"/>
      <c r="AJ117" s="22"/>
      <c r="AK117" s="22"/>
      <c r="AL117" s="22"/>
      <c r="AM117" s="22"/>
      <c r="AN117" s="22"/>
      <c r="AO117" s="22"/>
      <c r="AP117" s="22"/>
      <c r="AQ117" s="22"/>
      <c r="AR117" s="22"/>
      <c r="AS117" s="22"/>
    </row>
    <row r="118" spans="1:45" x14ac:dyDescent="0.3">
      <c r="A118" s="22"/>
      <c r="B118" s="71"/>
      <c r="C118" s="22"/>
      <c r="D118" s="23"/>
      <c r="E118" s="22"/>
      <c r="F118" s="22"/>
      <c r="G118" s="22"/>
      <c r="H118" s="23"/>
      <c r="I118" s="22"/>
      <c r="J118" s="22"/>
      <c r="K118" s="22"/>
      <c r="L118" s="23"/>
      <c r="M118" s="71"/>
      <c r="N118" s="71"/>
      <c r="O118" s="22"/>
      <c r="P118" s="22"/>
      <c r="Q118" s="22"/>
      <c r="R118" s="71"/>
      <c r="S118" s="71"/>
      <c r="T118" s="71"/>
      <c r="U118" s="71"/>
      <c r="V118" s="71"/>
      <c r="W118" s="71"/>
      <c r="X118" s="71"/>
      <c r="Y118" s="71"/>
      <c r="Z118" s="71"/>
      <c r="AA118" s="71"/>
      <c r="AB118" s="71"/>
      <c r="AC118" s="22"/>
      <c r="AD118" s="22"/>
      <c r="AE118" s="22"/>
      <c r="AF118" s="22"/>
      <c r="AG118" s="22"/>
      <c r="AH118" s="22"/>
      <c r="AI118" s="22"/>
      <c r="AJ118" s="22"/>
      <c r="AK118" s="22"/>
      <c r="AL118" s="22"/>
      <c r="AM118" s="22"/>
      <c r="AN118" s="22"/>
      <c r="AO118" s="22"/>
      <c r="AP118" s="22"/>
      <c r="AQ118" s="22"/>
      <c r="AR118" s="22"/>
      <c r="AS118" s="22"/>
    </row>
    <row r="119" spans="1:45" x14ac:dyDescent="0.3">
      <c r="A119" s="22"/>
      <c r="B119" s="71"/>
      <c r="C119" s="22"/>
      <c r="D119" s="23"/>
      <c r="E119" s="22"/>
      <c r="F119" s="22"/>
      <c r="G119" s="22"/>
      <c r="H119" s="23"/>
      <c r="I119" s="22"/>
      <c r="J119" s="22"/>
      <c r="K119" s="22"/>
      <c r="L119" s="23"/>
      <c r="M119" s="71"/>
      <c r="N119" s="71"/>
      <c r="O119" s="22"/>
      <c r="P119" s="22"/>
      <c r="Q119" s="22"/>
      <c r="R119" s="71"/>
      <c r="S119" s="71"/>
      <c r="T119" s="71"/>
      <c r="U119" s="71"/>
      <c r="V119" s="71"/>
      <c r="W119" s="71"/>
      <c r="X119" s="71"/>
      <c r="Y119" s="71"/>
      <c r="Z119" s="71"/>
      <c r="AA119" s="71"/>
      <c r="AB119" s="71"/>
      <c r="AC119" s="22"/>
      <c r="AD119" s="22"/>
      <c r="AE119" s="22"/>
      <c r="AF119" s="22"/>
      <c r="AG119" s="22"/>
      <c r="AH119" s="22"/>
      <c r="AI119" s="22"/>
      <c r="AJ119" s="22"/>
      <c r="AK119" s="22"/>
      <c r="AL119" s="22"/>
      <c r="AM119" s="22"/>
      <c r="AN119" s="22"/>
      <c r="AO119" s="22"/>
      <c r="AP119" s="22"/>
      <c r="AQ119" s="22"/>
      <c r="AR119" s="22"/>
      <c r="AS119" s="22"/>
    </row>
    <row r="120" spans="1:45" x14ac:dyDescent="0.3">
      <c r="A120" s="22"/>
      <c r="B120" s="71"/>
      <c r="C120" s="22"/>
      <c r="D120" s="23"/>
      <c r="E120" s="22"/>
      <c r="F120" s="22"/>
      <c r="G120" s="22"/>
      <c r="H120" s="23"/>
      <c r="I120" s="22"/>
      <c r="J120" s="22"/>
      <c r="K120" s="22"/>
      <c r="L120" s="23"/>
      <c r="M120" s="71"/>
      <c r="N120" s="71"/>
      <c r="O120" s="22"/>
      <c r="P120" s="22"/>
      <c r="Q120" s="22"/>
      <c r="R120" s="71"/>
      <c r="S120" s="71"/>
      <c r="T120" s="71"/>
      <c r="U120" s="71"/>
      <c r="V120" s="71"/>
      <c r="W120" s="71"/>
      <c r="X120" s="71"/>
      <c r="Y120" s="71"/>
      <c r="Z120" s="71"/>
      <c r="AA120" s="71"/>
      <c r="AB120" s="71"/>
      <c r="AC120" s="22"/>
      <c r="AD120" s="22"/>
      <c r="AE120" s="22"/>
      <c r="AF120" s="22"/>
      <c r="AG120" s="22"/>
      <c r="AH120" s="22"/>
      <c r="AI120" s="22"/>
      <c r="AJ120" s="22"/>
      <c r="AK120" s="22"/>
      <c r="AL120" s="22"/>
      <c r="AM120" s="22"/>
      <c r="AN120" s="22"/>
      <c r="AO120" s="22"/>
      <c r="AP120" s="22"/>
      <c r="AQ120" s="22"/>
      <c r="AR120" s="22"/>
      <c r="AS120" s="22"/>
    </row>
    <row r="121" spans="1:45" x14ac:dyDescent="0.3">
      <c r="A121" s="22"/>
      <c r="B121" s="71"/>
      <c r="C121" s="22"/>
      <c r="D121" s="23"/>
      <c r="E121" s="22"/>
      <c r="F121" s="22"/>
      <c r="G121" s="22"/>
      <c r="H121" s="23"/>
      <c r="I121" s="22"/>
      <c r="J121" s="22"/>
      <c r="K121" s="22"/>
      <c r="L121" s="23"/>
      <c r="M121" s="71"/>
      <c r="N121" s="71"/>
      <c r="O121" s="22"/>
      <c r="P121" s="22"/>
      <c r="Q121" s="22"/>
      <c r="R121" s="71"/>
      <c r="S121" s="71"/>
      <c r="T121" s="71"/>
      <c r="U121" s="71"/>
      <c r="V121" s="71"/>
      <c r="W121" s="71"/>
      <c r="X121" s="71"/>
      <c r="Y121" s="71"/>
      <c r="Z121" s="71"/>
      <c r="AA121" s="71"/>
      <c r="AB121" s="71"/>
      <c r="AC121" s="22"/>
      <c r="AD121" s="22"/>
      <c r="AE121" s="22"/>
      <c r="AF121" s="22"/>
      <c r="AG121" s="22"/>
      <c r="AH121" s="22"/>
      <c r="AI121" s="22"/>
      <c r="AJ121" s="22"/>
      <c r="AK121" s="22"/>
      <c r="AL121" s="22"/>
      <c r="AM121" s="22"/>
      <c r="AN121" s="22"/>
      <c r="AO121" s="22"/>
      <c r="AP121" s="22"/>
      <c r="AQ121" s="22"/>
      <c r="AR121" s="22"/>
      <c r="AS121" s="22"/>
    </row>
    <row r="122" spans="1:45" x14ac:dyDescent="0.3">
      <c r="A122" s="22"/>
      <c r="B122" s="71"/>
      <c r="C122" s="22"/>
      <c r="D122" s="23"/>
      <c r="E122" s="22"/>
      <c r="F122" s="22"/>
      <c r="G122" s="22"/>
      <c r="H122" s="23"/>
      <c r="I122" s="22"/>
      <c r="J122" s="22"/>
      <c r="K122" s="22"/>
      <c r="L122" s="23"/>
      <c r="M122" s="71"/>
      <c r="N122" s="71"/>
      <c r="O122" s="22"/>
      <c r="P122" s="22"/>
      <c r="Q122" s="22"/>
      <c r="R122" s="71"/>
      <c r="S122" s="71"/>
      <c r="T122" s="71"/>
      <c r="U122" s="71"/>
      <c r="V122" s="71"/>
      <c r="W122" s="71"/>
      <c r="X122" s="71"/>
      <c r="Y122" s="71"/>
      <c r="Z122" s="71"/>
      <c r="AA122" s="71"/>
      <c r="AB122" s="71"/>
      <c r="AC122" s="22"/>
      <c r="AD122" s="22"/>
      <c r="AE122" s="22"/>
      <c r="AF122" s="22"/>
      <c r="AG122" s="22"/>
      <c r="AH122" s="22"/>
      <c r="AI122" s="22"/>
      <c r="AJ122" s="22"/>
      <c r="AK122" s="22"/>
      <c r="AL122" s="22"/>
      <c r="AM122" s="22"/>
      <c r="AN122" s="22"/>
      <c r="AO122" s="22"/>
      <c r="AP122" s="22"/>
      <c r="AQ122" s="22"/>
      <c r="AR122" s="22"/>
      <c r="AS122" s="22"/>
    </row>
    <row r="123" spans="1:45" x14ac:dyDescent="0.3">
      <c r="A123" s="22"/>
      <c r="B123" s="71"/>
      <c r="C123" s="22"/>
      <c r="D123" s="23"/>
      <c r="E123" s="22"/>
      <c r="F123" s="22"/>
      <c r="G123" s="22"/>
      <c r="H123" s="23"/>
      <c r="I123" s="22"/>
      <c r="J123" s="22"/>
      <c r="K123" s="22"/>
      <c r="L123" s="23"/>
      <c r="M123" s="71"/>
      <c r="N123" s="71"/>
      <c r="O123" s="22"/>
      <c r="P123" s="22"/>
      <c r="Q123" s="22"/>
      <c r="R123" s="71"/>
      <c r="S123" s="71"/>
      <c r="T123" s="71"/>
      <c r="U123" s="71"/>
      <c r="V123" s="71"/>
      <c r="W123" s="71"/>
      <c r="X123" s="71"/>
      <c r="Y123" s="71"/>
      <c r="Z123" s="71"/>
      <c r="AA123" s="71"/>
      <c r="AB123" s="71"/>
      <c r="AC123" s="22"/>
      <c r="AD123" s="22"/>
      <c r="AE123" s="22"/>
      <c r="AF123" s="22"/>
      <c r="AG123" s="22"/>
      <c r="AH123" s="22"/>
      <c r="AI123" s="22"/>
      <c r="AJ123" s="22"/>
      <c r="AK123" s="22"/>
      <c r="AL123" s="22"/>
      <c r="AM123" s="22"/>
      <c r="AN123" s="22"/>
      <c r="AO123" s="22"/>
      <c r="AP123" s="22"/>
      <c r="AQ123" s="22"/>
      <c r="AR123" s="22"/>
      <c r="AS123" s="22"/>
    </row>
    <row r="124" spans="1:45" x14ac:dyDescent="0.3">
      <c r="A124" s="22"/>
      <c r="B124" s="71"/>
      <c r="C124" s="22"/>
      <c r="D124" s="23"/>
      <c r="E124" s="22"/>
      <c r="F124" s="22"/>
      <c r="G124" s="22"/>
      <c r="H124" s="23"/>
      <c r="I124" s="22"/>
      <c r="J124" s="22"/>
      <c r="K124" s="22"/>
      <c r="L124" s="23"/>
      <c r="M124" s="71"/>
      <c r="N124" s="71"/>
      <c r="O124" s="22"/>
      <c r="P124" s="22"/>
      <c r="Q124" s="22"/>
      <c r="R124" s="71"/>
      <c r="S124" s="71"/>
      <c r="T124" s="71"/>
      <c r="U124" s="71"/>
      <c r="V124" s="71"/>
      <c r="W124" s="71"/>
      <c r="X124" s="71"/>
      <c r="Y124" s="71"/>
      <c r="Z124" s="71"/>
      <c r="AA124" s="71"/>
      <c r="AB124" s="71"/>
      <c r="AC124" s="22"/>
      <c r="AD124" s="22"/>
      <c r="AE124" s="22"/>
      <c r="AF124" s="22"/>
      <c r="AG124" s="22"/>
      <c r="AH124" s="22"/>
      <c r="AI124" s="22"/>
      <c r="AJ124" s="22"/>
      <c r="AK124" s="22"/>
      <c r="AL124" s="22"/>
      <c r="AM124" s="22"/>
      <c r="AN124" s="22"/>
      <c r="AO124" s="22"/>
      <c r="AP124" s="22"/>
      <c r="AQ124" s="22"/>
      <c r="AR124" s="22"/>
      <c r="AS124" s="22"/>
    </row>
    <row r="125" spans="1:45" x14ac:dyDescent="0.3">
      <c r="A125" s="22"/>
      <c r="B125" s="71"/>
      <c r="C125" s="22"/>
      <c r="D125" s="23"/>
      <c r="E125" s="22"/>
      <c r="F125" s="22"/>
      <c r="G125" s="22"/>
      <c r="H125" s="23"/>
      <c r="I125" s="22"/>
      <c r="J125" s="22"/>
      <c r="K125" s="22"/>
      <c r="L125" s="23"/>
      <c r="M125" s="71"/>
      <c r="N125" s="71"/>
      <c r="O125" s="22"/>
      <c r="P125" s="22"/>
      <c r="Q125" s="22"/>
      <c r="R125" s="71"/>
      <c r="S125" s="71"/>
      <c r="T125" s="71"/>
      <c r="U125" s="71"/>
      <c r="V125" s="71"/>
      <c r="W125" s="71"/>
      <c r="X125" s="71"/>
      <c r="Y125" s="71"/>
      <c r="Z125" s="71"/>
      <c r="AA125" s="71"/>
      <c r="AB125" s="71"/>
      <c r="AC125" s="22"/>
      <c r="AD125" s="22"/>
      <c r="AE125" s="22"/>
      <c r="AF125" s="22"/>
      <c r="AG125" s="22"/>
      <c r="AH125" s="22"/>
      <c r="AI125" s="22"/>
      <c r="AJ125" s="22"/>
      <c r="AK125" s="22"/>
      <c r="AL125" s="22"/>
      <c r="AM125" s="22"/>
      <c r="AN125" s="22"/>
      <c r="AO125" s="22"/>
      <c r="AP125" s="22"/>
      <c r="AQ125" s="22"/>
      <c r="AR125" s="22"/>
      <c r="AS125" s="22"/>
    </row>
    <row r="126" spans="1:45" x14ac:dyDescent="0.3">
      <c r="A126" s="22"/>
      <c r="B126" s="71"/>
      <c r="C126" s="22"/>
      <c r="D126" s="23"/>
      <c r="E126" s="22"/>
      <c r="F126" s="22"/>
      <c r="G126" s="22"/>
      <c r="H126" s="23"/>
      <c r="I126" s="22"/>
      <c r="J126" s="22"/>
      <c r="K126" s="22"/>
      <c r="L126" s="23"/>
      <c r="M126" s="71"/>
      <c r="N126" s="71"/>
      <c r="O126" s="22"/>
      <c r="P126" s="22"/>
      <c r="Q126" s="22"/>
      <c r="R126" s="71"/>
      <c r="S126" s="71"/>
      <c r="T126" s="71"/>
      <c r="U126" s="71"/>
      <c r="V126" s="71"/>
      <c r="W126" s="71"/>
      <c r="X126" s="71"/>
      <c r="Y126" s="71"/>
      <c r="Z126" s="71"/>
      <c r="AA126" s="71"/>
      <c r="AB126" s="71"/>
      <c r="AC126" s="22"/>
      <c r="AD126" s="22"/>
      <c r="AE126" s="22"/>
      <c r="AF126" s="22"/>
      <c r="AG126" s="22"/>
      <c r="AH126" s="22"/>
      <c r="AI126" s="22"/>
      <c r="AJ126" s="22"/>
      <c r="AK126" s="22"/>
      <c r="AL126" s="22"/>
      <c r="AM126" s="22"/>
      <c r="AN126" s="22"/>
      <c r="AO126" s="22"/>
      <c r="AP126" s="22"/>
      <c r="AQ126" s="22"/>
      <c r="AR126" s="22"/>
      <c r="AS126" s="22"/>
    </row>
    <row r="127" spans="1:45" x14ac:dyDescent="0.3">
      <c r="A127" s="22"/>
      <c r="B127" s="71"/>
      <c r="C127" s="22"/>
      <c r="D127" s="23"/>
      <c r="E127" s="22"/>
      <c r="F127" s="22"/>
      <c r="G127" s="22"/>
      <c r="H127" s="23"/>
      <c r="I127" s="22"/>
      <c r="J127" s="22"/>
      <c r="K127" s="22"/>
      <c r="L127" s="23"/>
      <c r="M127" s="71"/>
      <c r="N127" s="71"/>
      <c r="O127" s="22"/>
      <c r="P127" s="22"/>
      <c r="Q127" s="22"/>
      <c r="R127" s="71"/>
      <c r="S127" s="71"/>
      <c r="T127" s="71"/>
      <c r="U127" s="71"/>
      <c r="V127" s="71"/>
      <c r="W127" s="71"/>
      <c r="X127" s="71"/>
      <c r="Y127" s="71"/>
      <c r="Z127" s="71"/>
      <c r="AA127" s="71"/>
      <c r="AB127" s="71"/>
      <c r="AC127" s="22"/>
      <c r="AD127" s="22"/>
      <c r="AE127" s="22"/>
      <c r="AF127" s="22"/>
      <c r="AG127" s="22"/>
      <c r="AH127" s="22"/>
      <c r="AI127" s="22"/>
      <c r="AJ127" s="22"/>
      <c r="AK127" s="22"/>
      <c r="AL127" s="22"/>
      <c r="AM127" s="22"/>
      <c r="AN127" s="22"/>
      <c r="AO127" s="22"/>
      <c r="AP127" s="22"/>
      <c r="AQ127" s="22"/>
      <c r="AR127" s="22"/>
      <c r="AS127" s="22"/>
    </row>
    <row r="128" spans="1:45" x14ac:dyDescent="0.3">
      <c r="A128" s="22"/>
      <c r="B128" s="71"/>
      <c r="C128" s="22"/>
      <c r="D128" s="23"/>
      <c r="E128" s="22"/>
      <c r="F128" s="22"/>
      <c r="G128" s="22"/>
      <c r="H128" s="23"/>
      <c r="I128" s="22"/>
      <c r="J128" s="22"/>
      <c r="K128" s="22"/>
      <c r="L128" s="23"/>
      <c r="M128" s="71"/>
      <c r="N128" s="71"/>
      <c r="O128" s="22"/>
      <c r="P128" s="22"/>
      <c r="Q128" s="22"/>
      <c r="R128" s="71"/>
      <c r="S128" s="71"/>
      <c r="T128" s="71"/>
      <c r="U128" s="71"/>
      <c r="V128" s="71"/>
      <c r="W128" s="71"/>
      <c r="X128" s="71"/>
      <c r="Y128" s="71"/>
      <c r="Z128" s="71"/>
      <c r="AA128" s="71"/>
      <c r="AB128" s="71"/>
      <c r="AC128" s="22"/>
      <c r="AD128" s="22"/>
      <c r="AE128" s="22"/>
      <c r="AF128" s="22"/>
      <c r="AG128" s="22"/>
      <c r="AH128" s="22"/>
      <c r="AI128" s="22"/>
      <c r="AJ128" s="22"/>
      <c r="AK128" s="22"/>
      <c r="AL128" s="22"/>
      <c r="AM128" s="22"/>
      <c r="AN128" s="22"/>
      <c r="AO128" s="22"/>
      <c r="AP128" s="22"/>
      <c r="AQ128" s="22"/>
      <c r="AR128" s="22"/>
      <c r="AS128" s="22"/>
    </row>
    <row r="129" spans="1:45" x14ac:dyDescent="0.3">
      <c r="A129" s="22"/>
      <c r="B129" s="71"/>
      <c r="C129" s="22"/>
      <c r="D129" s="23"/>
      <c r="E129" s="22"/>
      <c r="F129" s="22"/>
      <c r="G129" s="22"/>
      <c r="H129" s="23"/>
      <c r="I129" s="22"/>
      <c r="J129" s="22"/>
      <c r="K129" s="22"/>
      <c r="L129" s="23"/>
      <c r="M129" s="71"/>
      <c r="N129" s="71"/>
      <c r="O129" s="22"/>
      <c r="P129" s="22"/>
      <c r="Q129" s="22"/>
      <c r="R129" s="71"/>
      <c r="S129" s="71"/>
      <c r="T129" s="71"/>
      <c r="U129" s="71"/>
      <c r="V129" s="71"/>
      <c r="W129" s="71"/>
      <c r="X129" s="71"/>
      <c r="Y129" s="71"/>
      <c r="Z129" s="71"/>
      <c r="AA129" s="71"/>
      <c r="AB129" s="71"/>
      <c r="AC129" s="22"/>
      <c r="AD129" s="22"/>
      <c r="AE129" s="22"/>
      <c r="AF129" s="22"/>
      <c r="AG129" s="22"/>
      <c r="AH129" s="22"/>
      <c r="AI129" s="22"/>
      <c r="AJ129" s="22"/>
      <c r="AK129" s="22"/>
      <c r="AL129" s="22"/>
      <c r="AM129" s="22"/>
      <c r="AN129" s="22"/>
      <c r="AO129" s="22"/>
      <c r="AP129" s="22"/>
      <c r="AQ129" s="22"/>
      <c r="AR129" s="22"/>
      <c r="AS129" s="22"/>
    </row>
    <row r="130" spans="1:45" x14ac:dyDescent="0.3">
      <c r="A130" s="22"/>
      <c r="B130" s="71"/>
      <c r="C130" s="22"/>
      <c r="D130" s="23"/>
      <c r="E130" s="22"/>
      <c r="F130" s="22"/>
      <c r="G130" s="22"/>
      <c r="H130" s="23"/>
      <c r="I130" s="22"/>
      <c r="J130" s="22"/>
      <c r="K130" s="22"/>
      <c r="L130" s="23"/>
      <c r="M130" s="71"/>
      <c r="N130" s="71"/>
      <c r="O130" s="22"/>
      <c r="P130" s="22"/>
      <c r="Q130" s="22"/>
      <c r="R130" s="71"/>
      <c r="S130" s="71"/>
      <c r="T130" s="71"/>
      <c r="U130" s="71"/>
      <c r="V130" s="71"/>
      <c r="W130" s="71"/>
      <c r="X130" s="71"/>
      <c r="Y130" s="71"/>
      <c r="Z130" s="71"/>
      <c r="AA130" s="71"/>
      <c r="AB130" s="71"/>
      <c r="AC130" s="22"/>
      <c r="AD130" s="22"/>
      <c r="AE130" s="22"/>
      <c r="AF130" s="22"/>
      <c r="AG130" s="22"/>
      <c r="AH130" s="22"/>
      <c r="AI130" s="22"/>
      <c r="AJ130" s="22"/>
      <c r="AK130" s="22"/>
      <c r="AL130" s="22"/>
      <c r="AM130" s="22"/>
      <c r="AN130" s="22"/>
      <c r="AO130" s="22"/>
      <c r="AP130" s="22"/>
      <c r="AQ130" s="22"/>
      <c r="AR130" s="22"/>
      <c r="AS130" s="22"/>
    </row>
    <row r="131" spans="1:45" x14ac:dyDescent="0.3">
      <c r="A131" s="22"/>
      <c r="B131" s="71"/>
      <c r="C131" s="22"/>
      <c r="D131" s="23"/>
      <c r="E131" s="22"/>
      <c r="F131" s="22"/>
      <c r="G131" s="22"/>
      <c r="H131" s="23"/>
      <c r="I131" s="22"/>
      <c r="J131" s="22"/>
      <c r="K131" s="22"/>
      <c r="L131" s="23"/>
      <c r="M131" s="71"/>
      <c r="N131" s="71"/>
      <c r="O131" s="22"/>
      <c r="P131" s="22"/>
      <c r="Q131" s="22"/>
      <c r="R131" s="71"/>
      <c r="S131" s="71"/>
      <c r="T131" s="71"/>
      <c r="U131" s="71"/>
      <c r="V131" s="71"/>
      <c r="W131" s="71"/>
      <c r="X131" s="71"/>
      <c r="Y131" s="71"/>
      <c r="Z131" s="71"/>
      <c r="AA131" s="71"/>
      <c r="AB131" s="71"/>
      <c r="AC131" s="22"/>
      <c r="AD131" s="22"/>
      <c r="AE131" s="22"/>
      <c r="AF131" s="22"/>
      <c r="AG131" s="22"/>
      <c r="AH131" s="22"/>
      <c r="AI131" s="22"/>
      <c r="AJ131" s="22"/>
      <c r="AK131" s="22"/>
      <c r="AL131" s="22"/>
      <c r="AM131" s="22"/>
      <c r="AN131" s="22"/>
      <c r="AO131" s="22"/>
      <c r="AP131" s="22"/>
      <c r="AQ131" s="22"/>
      <c r="AR131" s="22"/>
      <c r="AS131" s="22"/>
    </row>
    <row r="132" spans="1:45" x14ac:dyDescent="0.3">
      <c r="A132" s="22"/>
      <c r="B132" s="71"/>
      <c r="C132" s="22"/>
      <c r="D132" s="23"/>
      <c r="E132" s="22"/>
      <c r="F132" s="22"/>
      <c r="G132" s="22"/>
      <c r="H132" s="23"/>
      <c r="I132" s="22"/>
      <c r="J132" s="22"/>
      <c r="K132" s="22"/>
      <c r="L132" s="23"/>
      <c r="M132" s="71"/>
      <c r="N132" s="71"/>
      <c r="O132" s="22"/>
      <c r="P132" s="22"/>
      <c r="Q132" s="22"/>
      <c r="R132" s="71"/>
      <c r="S132" s="71"/>
      <c r="T132" s="71"/>
      <c r="U132" s="71"/>
      <c r="V132" s="71"/>
      <c r="W132" s="71"/>
      <c r="X132" s="71"/>
      <c r="Y132" s="71"/>
      <c r="Z132" s="71"/>
      <c r="AA132" s="71"/>
      <c r="AB132" s="71"/>
      <c r="AC132" s="22"/>
      <c r="AD132" s="22"/>
      <c r="AE132" s="22"/>
      <c r="AF132" s="22"/>
      <c r="AG132" s="22"/>
      <c r="AH132" s="22"/>
      <c r="AI132" s="22"/>
      <c r="AJ132" s="22"/>
      <c r="AK132" s="22"/>
      <c r="AL132" s="22"/>
      <c r="AM132" s="22"/>
      <c r="AN132" s="22"/>
      <c r="AO132" s="22"/>
      <c r="AP132" s="22"/>
      <c r="AQ132" s="22"/>
      <c r="AR132" s="22"/>
      <c r="AS132" s="22"/>
    </row>
    <row r="133" spans="1:45" x14ac:dyDescent="0.3">
      <c r="A133" s="22"/>
      <c r="B133" s="71"/>
      <c r="C133" s="22"/>
      <c r="D133" s="23"/>
      <c r="E133" s="22"/>
      <c r="F133" s="22"/>
      <c r="G133" s="22"/>
      <c r="H133" s="23"/>
      <c r="I133" s="22"/>
      <c r="J133" s="22"/>
      <c r="K133" s="22"/>
      <c r="L133" s="23"/>
      <c r="M133" s="71"/>
      <c r="N133" s="71"/>
      <c r="O133" s="22"/>
      <c r="P133" s="22"/>
      <c r="Q133" s="22"/>
      <c r="R133" s="71"/>
      <c r="S133" s="71"/>
      <c r="T133" s="71"/>
      <c r="U133" s="71"/>
      <c r="V133" s="71"/>
      <c r="W133" s="71"/>
      <c r="X133" s="71"/>
      <c r="Y133" s="71"/>
      <c r="Z133" s="71"/>
      <c r="AA133" s="71"/>
      <c r="AB133" s="71"/>
      <c r="AC133" s="22"/>
      <c r="AD133" s="22"/>
      <c r="AE133" s="22"/>
      <c r="AF133" s="22"/>
      <c r="AG133" s="22"/>
      <c r="AH133" s="22"/>
      <c r="AI133" s="22"/>
      <c r="AJ133" s="22"/>
      <c r="AK133" s="22"/>
      <c r="AL133" s="22"/>
      <c r="AM133" s="22"/>
      <c r="AN133" s="22"/>
      <c r="AO133" s="22"/>
      <c r="AP133" s="22"/>
      <c r="AQ133" s="22"/>
      <c r="AR133" s="22"/>
      <c r="AS133" s="22"/>
    </row>
    <row r="134" spans="1:45" x14ac:dyDescent="0.3">
      <c r="A134" s="22"/>
      <c r="B134" s="71"/>
      <c r="C134" s="22"/>
      <c r="D134" s="23"/>
      <c r="E134" s="22"/>
      <c r="F134" s="22"/>
      <c r="G134" s="22"/>
      <c r="H134" s="23"/>
      <c r="I134" s="22"/>
      <c r="J134" s="22"/>
      <c r="K134" s="22"/>
      <c r="L134" s="23"/>
      <c r="M134" s="71"/>
      <c r="N134" s="71"/>
      <c r="O134" s="22"/>
      <c r="P134" s="22"/>
      <c r="Q134" s="22"/>
      <c r="R134" s="71"/>
      <c r="S134" s="71"/>
      <c r="T134" s="71"/>
      <c r="U134" s="71"/>
      <c r="V134" s="71"/>
      <c r="W134" s="71"/>
      <c r="X134" s="71"/>
      <c r="Y134" s="71"/>
      <c r="Z134" s="71"/>
      <c r="AA134" s="71"/>
      <c r="AB134" s="71"/>
      <c r="AC134" s="22"/>
      <c r="AD134" s="22"/>
      <c r="AE134" s="22"/>
      <c r="AF134" s="22"/>
      <c r="AG134" s="22"/>
      <c r="AH134" s="22"/>
      <c r="AI134" s="22"/>
      <c r="AJ134" s="22"/>
      <c r="AK134" s="22"/>
      <c r="AL134" s="22"/>
      <c r="AM134" s="22"/>
      <c r="AN134" s="22"/>
      <c r="AO134" s="22"/>
      <c r="AP134" s="22"/>
      <c r="AQ134" s="22"/>
      <c r="AR134" s="22"/>
      <c r="AS134" s="22"/>
    </row>
    <row r="135" spans="1:45" x14ac:dyDescent="0.3">
      <c r="A135" s="22"/>
      <c r="B135" s="71"/>
      <c r="C135" s="22"/>
      <c r="D135" s="23"/>
      <c r="E135" s="22"/>
      <c r="F135" s="22"/>
      <c r="G135" s="22"/>
      <c r="H135" s="23"/>
      <c r="I135" s="22"/>
      <c r="J135" s="22"/>
      <c r="K135" s="22"/>
      <c r="L135" s="23"/>
      <c r="M135" s="71"/>
      <c r="N135" s="71"/>
      <c r="O135" s="22"/>
      <c r="P135" s="22"/>
      <c r="Q135" s="22"/>
      <c r="R135" s="71"/>
      <c r="S135" s="71"/>
      <c r="T135" s="71"/>
      <c r="U135" s="71"/>
      <c r="V135" s="71"/>
      <c r="W135" s="71"/>
      <c r="X135" s="71"/>
      <c r="Y135" s="71"/>
      <c r="Z135" s="71"/>
      <c r="AA135" s="71"/>
      <c r="AB135" s="71"/>
      <c r="AC135" s="22"/>
      <c r="AD135" s="22"/>
      <c r="AE135" s="22"/>
      <c r="AF135" s="22"/>
      <c r="AG135" s="22"/>
      <c r="AH135" s="22"/>
      <c r="AI135" s="22"/>
      <c r="AJ135" s="22"/>
      <c r="AK135" s="22"/>
      <c r="AL135" s="22"/>
      <c r="AM135" s="22"/>
      <c r="AN135" s="22"/>
      <c r="AO135" s="22"/>
      <c r="AP135" s="22"/>
      <c r="AQ135" s="22"/>
      <c r="AR135" s="22"/>
      <c r="AS135" s="22"/>
    </row>
    <row r="136" spans="1:45" x14ac:dyDescent="0.3">
      <c r="A136" s="22"/>
      <c r="B136" s="71"/>
      <c r="C136" s="22"/>
      <c r="D136" s="23"/>
      <c r="E136" s="22"/>
      <c r="F136" s="22"/>
      <c r="G136" s="22"/>
      <c r="H136" s="23"/>
      <c r="I136" s="22"/>
      <c r="J136" s="22"/>
      <c r="K136" s="22"/>
      <c r="L136" s="23"/>
      <c r="M136" s="71"/>
      <c r="N136" s="71"/>
      <c r="O136" s="22"/>
      <c r="P136" s="22"/>
      <c r="Q136" s="22"/>
      <c r="R136" s="71"/>
      <c r="S136" s="71"/>
      <c r="T136" s="71"/>
      <c r="U136" s="71"/>
      <c r="V136" s="71"/>
      <c r="W136" s="71"/>
      <c r="X136" s="71"/>
      <c r="Y136" s="71"/>
      <c r="Z136" s="71"/>
      <c r="AA136" s="71"/>
      <c r="AB136" s="71"/>
      <c r="AC136" s="22"/>
      <c r="AD136" s="22"/>
      <c r="AE136" s="22"/>
      <c r="AF136" s="22"/>
      <c r="AG136" s="22"/>
      <c r="AH136" s="22"/>
      <c r="AI136" s="22"/>
      <c r="AJ136" s="22"/>
      <c r="AK136" s="22"/>
      <c r="AL136" s="22"/>
      <c r="AM136" s="22"/>
      <c r="AN136" s="22"/>
      <c r="AO136" s="22"/>
      <c r="AP136" s="22"/>
      <c r="AQ136" s="22"/>
      <c r="AR136" s="22"/>
      <c r="AS136" s="22"/>
    </row>
    <row r="137" spans="1:45" x14ac:dyDescent="0.3">
      <c r="A137" s="22"/>
      <c r="B137" s="71"/>
      <c r="C137" s="22"/>
      <c r="D137" s="23"/>
      <c r="E137" s="22"/>
      <c r="F137" s="22"/>
      <c r="G137" s="22"/>
      <c r="H137" s="23"/>
      <c r="I137" s="22"/>
      <c r="J137" s="22"/>
      <c r="K137" s="22"/>
      <c r="L137" s="23"/>
      <c r="M137" s="71"/>
      <c r="N137" s="71"/>
      <c r="O137" s="22"/>
      <c r="P137" s="22"/>
      <c r="Q137" s="22"/>
      <c r="R137" s="71"/>
      <c r="S137" s="71"/>
      <c r="T137" s="71"/>
      <c r="U137" s="71"/>
      <c r="V137" s="71"/>
      <c r="W137" s="71"/>
      <c r="X137" s="71"/>
      <c r="Y137" s="71"/>
      <c r="Z137" s="71"/>
      <c r="AA137" s="71"/>
      <c r="AB137" s="71"/>
      <c r="AC137" s="22"/>
      <c r="AD137" s="22"/>
      <c r="AE137" s="22"/>
      <c r="AF137" s="22"/>
      <c r="AG137" s="22"/>
      <c r="AH137" s="22"/>
      <c r="AI137" s="22"/>
      <c r="AJ137" s="22"/>
      <c r="AK137" s="22"/>
      <c r="AL137" s="22"/>
      <c r="AM137" s="22"/>
      <c r="AN137" s="22"/>
      <c r="AO137" s="22"/>
      <c r="AP137" s="22"/>
      <c r="AQ137" s="22"/>
      <c r="AR137" s="22"/>
      <c r="AS137" s="22"/>
    </row>
    <row r="138" spans="1:45" x14ac:dyDescent="0.3">
      <c r="A138" s="22"/>
      <c r="B138" s="71"/>
      <c r="C138" s="22"/>
      <c r="D138" s="23"/>
      <c r="E138" s="22"/>
      <c r="F138" s="22"/>
      <c r="G138" s="22"/>
      <c r="H138" s="23"/>
      <c r="I138" s="22"/>
      <c r="J138" s="22"/>
      <c r="K138" s="22"/>
      <c r="L138" s="23"/>
      <c r="M138" s="71"/>
      <c r="N138" s="71"/>
      <c r="O138" s="22"/>
      <c r="P138" s="22"/>
      <c r="Q138" s="22"/>
      <c r="R138" s="71"/>
      <c r="S138" s="71"/>
      <c r="T138" s="71"/>
      <c r="U138" s="71"/>
      <c r="V138" s="71"/>
      <c r="W138" s="71"/>
      <c r="X138" s="71"/>
      <c r="Y138" s="71"/>
      <c r="Z138" s="71"/>
      <c r="AA138" s="71"/>
      <c r="AB138" s="71"/>
      <c r="AC138" s="22"/>
      <c r="AD138" s="22"/>
      <c r="AE138" s="22"/>
      <c r="AF138" s="22"/>
      <c r="AG138" s="22"/>
      <c r="AH138" s="22"/>
      <c r="AI138" s="22"/>
      <c r="AJ138" s="22"/>
      <c r="AK138" s="22"/>
      <c r="AL138" s="22"/>
      <c r="AM138" s="22"/>
      <c r="AN138" s="22"/>
      <c r="AO138" s="22"/>
      <c r="AP138" s="22"/>
      <c r="AQ138" s="22"/>
      <c r="AR138" s="22"/>
      <c r="AS138" s="22"/>
    </row>
    <row r="139" spans="1:45" x14ac:dyDescent="0.3">
      <c r="A139" s="22"/>
      <c r="B139" s="71"/>
      <c r="C139" s="22"/>
      <c r="D139" s="23"/>
      <c r="E139" s="22"/>
      <c r="F139" s="22"/>
      <c r="G139" s="22"/>
      <c r="H139" s="23"/>
      <c r="I139" s="22"/>
      <c r="J139" s="22"/>
      <c r="K139" s="22"/>
      <c r="L139" s="23"/>
      <c r="M139" s="71"/>
      <c r="N139" s="71"/>
      <c r="O139" s="22"/>
      <c r="P139" s="22"/>
      <c r="Q139" s="22"/>
      <c r="R139" s="71"/>
      <c r="S139" s="71"/>
      <c r="T139" s="71"/>
      <c r="U139" s="71"/>
      <c r="V139" s="71"/>
      <c r="W139" s="71"/>
      <c r="X139" s="71"/>
      <c r="Y139" s="71"/>
      <c r="Z139" s="71"/>
      <c r="AA139" s="71"/>
      <c r="AB139" s="71"/>
      <c r="AC139" s="22"/>
      <c r="AD139" s="22"/>
      <c r="AE139" s="22"/>
      <c r="AF139" s="22"/>
      <c r="AG139" s="22"/>
      <c r="AH139" s="22"/>
      <c r="AI139" s="22"/>
      <c r="AJ139" s="22"/>
      <c r="AK139" s="22"/>
      <c r="AL139" s="22"/>
      <c r="AM139" s="22"/>
      <c r="AN139" s="22"/>
      <c r="AO139" s="22"/>
      <c r="AP139" s="22"/>
      <c r="AQ139" s="22"/>
      <c r="AR139" s="22"/>
      <c r="AS139" s="22"/>
    </row>
    <row r="140" spans="1:45" x14ac:dyDescent="0.3">
      <c r="A140" s="22"/>
      <c r="B140" s="71"/>
      <c r="C140" s="22"/>
      <c r="D140" s="23"/>
      <c r="E140" s="22"/>
      <c r="F140" s="22"/>
      <c r="G140" s="22"/>
      <c r="H140" s="23"/>
      <c r="I140" s="22"/>
      <c r="J140" s="22"/>
      <c r="K140" s="22"/>
      <c r="L140" s="23"/>
      <c r="M140" s="71"/>
      <c r="N140" s="71"/>
      <c r="O140" s="22"/>
      <c r="P140" s="22"/>
      <c r="Q140" s="22"/>
      <c r="R140" s="71"/>
      <c r="S140" s="71"/>
      <c r="T140" s="71"/>
      <c r="U140" s="71"/>
      <c r="V140" s="71"/>
      <c r="W140" s="71"/>
      <c r="X140" s="71"/>
      <c r="Y140" s="71"/>
      <c r="Z140" s="71"/>
      <c r="AA140" s="71"/>
      <c r="AB140" s="71"/>
      <c r="AC140" s="22"/>
      <c r="AD140" s="22"/>
      <c r="AE140" s="22"/>
      <c r="AF140" s="22"/>
      <c r="AG140" s="22"/>
      <c r="AH140" s="22"/>
      <c r="AI140" s="22"/>
      <c r="AJ140" s="22"/>
      <c r="AK140" s="22"/>
      <c r="AL140" s="22"/>
      <c r="AM140" s="22"/>
      <c r="AN140" s="22"/>
      <c r="AO140" s="22"/>
      <c r="AP140" s="22"/>
      <c r="AQ140" s="22"/>
      <c r="AR140" s="22"/>
      <c r="AS140" s="22"/>
    </row>
    <row r="141" spans="1:45" x14ac:dyDescent="0.3">
      <c r="A141" s="22"/>
      <c r="B141" s="71"/>
      <c r="C141" s="22"/>
      <c r="D141" s="23"/>
      <c r="E141" s="22"/>
      <c r="F141" s="22"/>
      <c r="G141" s="22"/>
      <c r="H141" s="23"/>
      <c r="I141" s="22"/>
      <c r="J141" s="22"/>
      <c r="K141" s="22"/>
      <c r="L141" s="23"/>
      <c r="M141" s="71"/>
      <c r="N141" s="71"/>
      <c r="O141" s="22"/>
      <c r="P141" s="22"/>
      <c r="Q141" s="22"/>
      <c r="R141" s="71"/>
      <c r="S141" s="71"/>
      <c r="T141" s="71"/>
      <c r="U141" s="71"/>
      <c r="V141" s="71"/>
      <c r="W141" s="71"/>
      <c r="X141" s="71"/>
      <c r="Y141" s="71"/>
      <c r="Z141" s="71"/>
      <c r="AA141" s="71"/>
      <c r="AB141" s="71"/>
      <c r="AC141" s="22"/>
      <c r="AD141" s="22"/>
      <c r="AE141" s="22"/>
      <c r="AF141" s="22"/>
      <c r="AG141" s="22"/>
      <c r="AH141" s="22"/>
      <c r="AI141" s="22"/>
      <c r="AJ141" s="22"/>
      <c r="AK141" s="22"/>
      <c r="AL141" s="22"/>
      <c r="AM141" s="22"/>
      <c r="AN141" s="22"/>
      <c r="AO141" s="22"/>
      <c r="AP141" s="22"/>
      <c r="AQ141" s="22"/>
      <c r="AR141" s="22"/>
      <c r="AS141" s="22"/>
    </row>
    <row r="142" spans="1:45" x14ac:dyDescent="0.3">
      <c r="A142" s="22"/>
      <c r="B142" s="71"/>
      <c r="C142" s="22"/>
      <c r="D142" s="23"/>
      <c r="E142" s="22"/>
      <c r="F142" s="22"/>
      <c r="G142" s="22"/>
      <c r="H142" s="23"/>
      <c r="I142" s="22"/>
      <c r="J142" s="22"/>
      <c r="K142" s="22"/>
      <c r="L142" s="23"/>
      <c r="M142" s="71"/>
      <c r="N142" s="71"/>
      <c r="O142" s="22"/>
      <c r="P142" s="22"/>
      <c r="Q142" s="22"/>
      <c r="R142" s="71"/>
      <c r="S142" s="71"/>
      <c r="T142" s="71"/>
      <c r="U142" s="71"/>
      <c r="V142" s="71"/>
      <c r="W142" s="71"/>
      <c r="X142" s="71"/>
      <c r="Y142" s="71"/>
      <c r="Z142" s="71"/>
      <c r="AA142" s="71"/>
      <c r="AB142" s="71"/>
      <c r="AC142" s="22"/>
      <c r="AD142" s="22"/>
      <c r="AE142" s="22"/>
      <c r="AF142" s="22"/>
      <c r="AG142" s="22"/>
      <c r="AH142" s="22"/>
      <c r="AI142" s="22"/>
      <c r="AJ142" s="22"/>
      <c r="AK142" s="22"/>
      <c r="AL142" s="22"/>
      <c r="AM142" s="22"/>
      <c r="AN142" s="22"/>
      <c r="AO142" s="22"/>
      <c r="AP142" s="22"/>
      <c r="AQ142" s="22"/>
      <c r="AR142" s="22"/>
      <c r="AS142" s="22"/>
    </row>
    <row r="143" spans="1:45" x14ac:dyDescent="0.3">
      <c r="A143" s="22"/>
      <c r="B143" s="71"/>
      <c r="C143" s="22"/>
      <c r="D143" s="23"/>
      <c r="E143" s="22"/>
      <c r="F143" s="22"/>
      <c r="G143" s="22"/>
      <c r="H143" s="23"/>
      <c r="I143" s="22"/>
      <c r="J143" s="22"/>
      <c r="K143" s="22"/>
      <c r="L143" s="23"/>
      <c r="M143" s="71"/>
      <c r="N143" s="71"/>
      <c r="O143" s="22"/>
      <c r="P143" s="22"/>
      <c r="Q143" s="22"/>
      <c r="R143" s="71"/>
      <c r="AC143" s="22"/>
      <c r="AD143" s="22"/>
      <c r="AE143" s="22"/>
      <c r="AF143" s="22"/>
      <c r="AG143" s="22"/>
      <c r="AH143" s="22"/>
      <c r="AI143" s="22"/>
      <c r="AJ143" s="22"/>
      <c r="AK143" s="22"/>
      <c r="AL143" s="22"/>
      <c r="AM143" s="22"/>
      <c r="AN143" s="22"/>
      <c r="AO143" s="22"/>
      <c r="AP143" s="22"/>
      <c r="AQ143" s="22"/>
      <c r="AR143" s="22"/>
      <c r="AS143" s="22"/>
    </row>
    <row r="144" spans="1:45" x14ac:dyDescent="0.3">
      <c r="A144" s="22"/>
      <c r="B144" s="71"/>
      <c r="C144" s="22"/>
      <c r="D144" s="23"/>
      <c r="E144" s="22"/>
      <c r="F144" s="22"/>
      <c r="G144" s="22"/>
      <c r="H144" s="23"/>
      <c r="I144" s="22"/>
      <c r="J144" s="22"/>
      <c r="K144" s="22"/>
      <c r="L144" s="23"/>
      <c r="M144" s="71"/>
      <c r="N144" s="71"/>
      <c r="O144" s="22"/>
      <c r="P144" s="22"/>
      <c r="Q144" s="22"/>
      <c r="R144" s="71"/>
      <c r="AC144" s="22"/>
      <c r="AD144" s="22"/>
      <c r="AE144" s="22"/>
      <c r="AF144" s="22"/>
      <c r="AG144" s="22"/>
      <c r="AH144" s="22"/>
      <c r="AI144" s="22"/>
      <c r="AJ144" s="22"/>
      <c r="AK144" s="22"/>
      <c r="AL144" s="22"/>
      <c r="AM144" s="22"/>
      <c r="AN144" s="22"/>
      <c r="AO144" s="22"/>
      <c r="AP144" s="22"/>
      <c r="AQ144" s="22"/>
      <c r="AR144" s="22"/>
      <c r="AS144" s="22"/>
    </row>
    <row r="145" spans="1:45" x14ac:dyDescent="0.3">
      <c r="A145" s="22"/>
      <c r="B145" s="71"/>
      <c r="C145" s="22"/>
      <c r="D145" s="23"/>
      <c r="E145" s="22"/>
      <c r="F145" s="22"/>
      <c r="G145" s="22"/>
      <c r="H145" s="23"/>
      <c r="I145" s="22"/>
      <c r="J145" s="22"/>
      <c r="K145" s="22"/>
      <c r="L145" s="23"/>
      <c r="M145" s="71"/>
      <c r="N145" s="71"/>
      <c r="O145" s="22"/>
      <c r="P145" s="22"/>
      <c r="Q145" s="22"/>
      <c r="R145" s="71"/>
      <c r="AC145" s="22"/>
      <c r="AD145" s="22"/>
      <c r="AE145" s="22"/>
      <c r="AF145" s="22"/>
      <c r="AG145" s="22"/>
      <c r="AH145" s="22"/>
      <c r="AI145" s="22"/>
      <c r="AJ145" s="22"/>
      <c r="AK145" s="22"/>
      <c r="AL145" s="22"/>
      <c r="AM145" s="22"/>
      <c r="AN145" s="22"/>
      <c r="AO145" s="22"/>
      <c r="AP145" s="22"/>
      <c r="AQ145" s="22"/>
      <c r="AR145" s="22"/>
      <c r="AS145" s="22"/>
    </row>
    <row r="146" spans="1:45" x14ac:dyDescent="0.3">
      <c r="A146" s="22"/>
      <c r="B146" s="71"/>
      <c r="C146" s="22"/>
      <c r="D146" s="23"/>
      <c r="E146" s="22"/>
      <c r="F146" s="22"/>
      <c r="G146" s="22"/>
      <c r="H146" s="23"/>
      <c r="I146" s="22"/>
      <c r="J146" s="22"/>
      <c r="K146" s="22"/>
      <c r="L146" s="23"/>
      <c r="M146" s="71"/>
      <c r="N146" s="71"/>
      <c r="O146" s="22"/>
      <c r="P146" s="22"/>
      <c r="Q146" s="22"/>
      <c r="R146" s="71"/>
      <c r="AC146" s="22"/>
      <c r="AD146" s="22"/>
      <c r="AE146" s="22"/>
      <c r="AF146" s="22"/>
      <c r="AG146" s="22"/>
      <c r="AH146" s="22"/>
      <c r="AI146" s="22"/>
      <c r="AJ146" s="22"/>
      <c r="AK146" s="22"/>
      <c r="AL146" s="22"/>
      <c r="AM146" s="22"/>
      <c r="AN146" s="22"/>
      <c r="AO146" s="22"/>
      <c r="AP146" s="22"/>
      <c r="AQ146" s="22"/>
      <c r="AR146" s="22"/>
      <c r="AS146" s="22"/>
    </row>
    <row r="147" spans="1:45" x14ac:dyDescent="0.3">
      <c r="A147" s="22"/>
      <c r="B147" s="71"/>
      <c r="C147" s="22"/>
      <c r="D147" s="23"/>
      <c r="E147" s="22"/>
      <c r="F147" s="22"/>
      <c r="G147" s="22"/>
      <c r="H147" s="23"/>
      <c r="I147" s="22"/>
      <c r="J147" s="22"/>
      <c r="K147" s="22"/>
      <c r="L147" s="23"/>
      <c r="M147" s="71"/>
      <c r="N147" s="71"/>
      <c r="O147" s="22"/>
      <c r="P147" s="22"/>
      <c r="Q147" s="22"/>
      <c r="R147" s="71"/>
      <c r="AC147" s="22"/>
      <c r="AD147" s="22"/>
      <c r="AE147" s="22"/>
      <c r="AF147" s="22"/>
      <c r="AG147" s="22"/>
      <c r="AH147" s="22"/>
      <c r="AI147" s="22"/>
      <c r="AJ147" s="22"/>
      <c r="AK147" s="22"/>
      <c r="AL147" s="22"/>
      <c r="AM147" s="22"/>
      <c r="AN147" s="22"/>
      <c r="AO147" s="22"/>
      <c r="AP147" s="22"/>
      <c r="AQ147" s="22"/>
      <c r="AR147" s="22"/>
      <c r="AS147" s="22"/>
    </row>
    <row r="148" spans="1:45" x14ac:dyDescent="0.3">
      <c r="A148" s="22"/>
      <c r="B148" s="71"/>
      <c r="C148" s="22"/>
      <c r="D148" s="23"/>
      <c r="E148" s="22"/>
      <c r="F148" s="22"/>
      <c r="G148" s="22"/>
      <c r="H148" s="23"/>
      <c r="I148" s="22"/>
      <c r="J148" s="22"/>
      <c r="K148" s="22"/>
      <c r="L148" s="23"/>
      <c r="M148" s="71"/>
      <c r="N148" s="71"/>
      <c r="O148" s="22"/>
      <c r="P148" s="22"/>
      <c r="Q148" s="22"/>
      <c r="R148" s="71"/>
      <c r="AC148" s="22"/>
      <c r="AD148" s="22"/>
      <c r="AE148" s="22"/>
      <c r="AF148" s="22"/>
      <c r="AG148" s="22"/>
      <c r="AH148" s="22"/>
      <c r="AI148" s="22"/>
      <c r="AJ148" s="22"/>
      <c r="AK148" s="22"/>
      <c r="AL148" s="22"/>
      <c r="AM148" s="22"/>
      <c r="AN148" s="22"/>
      <c r="AO148" s="22"/>
      <c r="AP148" s="22"/>
      <c r="AQ148" s="22"/>
      <c r="AR148" s="22"/>
      <c r="AS148" s="22"/>
    </row>
    <row r="149" spans="1:45" x14ac:dyDescent="0.3">
      <c r="A149" s="22"/>
      <c r="B149" s="71"/>
      <c r="C149" s="22"/>
      <c r="D149" s="23"/>
      <c r="E149" s="22"/>
      <c r="F149" s="22"/>
      <c r="G149" s="22"/>
      <c r="H149" s="23"/>
      <c r="I149" s="22"/>
      <c r="J149" s="22"/>
      <c r="K149" s="22"/>
      <c r="L149" s="23"/>
      <c r="M149" s="71"/>
      <c r="N149" s="71"/>
      <c r="O149" s="22"/>
      <c r="P149" s="22"/>
      <c r="Q149" s="22"/>
      <c r="R149" s="71"/>
      <c r="AC149" s="22"/>
      <c r="AD149" s="22"/>
      <c r="AE149" s="22"/>
      <c r="AF149" s="22"/>
      <c r="AG149" s="22"/>
      <c r="AH149" s="22"/>
      <c r="AI149" s="22"/>
      <c r="AJ149" s="22"/>
      <c r="AK149" s="22"/>
      <c r="AL149" s="22"/>
      <c r="AM149" s="22"/>
      <c r="AN149" s="22"/>
      <c r="AO149" s="22"/>
      <c r="AP149" s="22"/>
      <c r="AQ149" s="22"/>
      <c r="AR149" s="22"/>
      <c r="AS149" s="22"/>
    </row>
    <row r="150" spans="1:45" x14ac:dyDescent="0.3">
      <c r="A150" s="22"/>
      <c r="B150" s="71"/>
      <c r="C150" s="22"/>
      <c r="D150" s="23"/>
      <c r="E150" s="22"/>
      <c r="F150" s="22"/>
      <c r="G150" s="22"/>
      <c r="H150" s="23"/>
      <c r="I150" s="22"/>
      <c r="J150" s="22"/>
      <c r="K150" s="22"/>
      <c r="L150" s="23"/>
      <c r="M150" s="71"/>
      <c r="N150" s="71"/>
      <c r="O150" s="22"/>
      <c r="P150" s="22"/>
      <c r="Q150" s="22"/>
      <c r="R150" s="71"/>
      <c r="AC150" s="22"/>
      <c r="AD150" s="22"/>
      <c r="AE150" s="22"/>
      <c r="AF150" s="22"/>
      <c r="AG150" s="22"/>
      <c r="AH150" s="22"/>
      <c r="AI150" s="22"/>
      <c r="AJ150" s="22"/>
      <c r="AK150" s="22"/>
      <c r="AL150" s="22"/>
      <c r="AM150" s="22"/>
      <c r="AN150" s="22"/>
      <c r="AO150" s="22"/>
      <c r="AP150" s="22"/>
      <c r="AQ150" s="22"/>
      <c r="AR150" s="22"/>
      <c r="AS150" s="22"/>
    </row>
    <row r="151" spans="1:45" x14ac:dyDescent="0.3">
      <c r="A151" s="22"/>
      <c r="B151" s="71"/>
      <c r="C151" s="22"/>
      <c r="D151" s="23"/>
      <c r="E151" s="22"/>
      <c r="F151" s="22"/>
      <c r="G151" s="22"/>
      <c r="H151" s="23"/>
      <c r="I151" s="22"/>
      <c r="J151" s="22"/>
      <c r="K151" s="22"/>
      <c r="L151" s="23"/>
      <c r="M151" s="71"/>
      <c r="N151" s="71"/>
      <c r="O151" s="22"/>
      <c r="P151" s="22"/>
      <c r="Q151" s="22"/>
      <c r="R151" s="71"/>
      <c r="AC151" s="22"/>
      <c r="AD151" s="22"/>
      <c r="AE151" s="22"/>
      <c r="AF151" s="22"/>
      <c r="AG151" s="22"/>
      <c r="AH151" s="22"/>
      <c r="AI151" s="22"/>
      <c r="AJ151" s="22"/>
      <c r="AK151" s="22"/>
      <c r="AL151" s="22"/>
      <c r="AM151" s="22"/>
      <c r="AN151" s="22"/>
      <c r="AO151" s="22"/>
      <c r="AP151" s="22"/>
      <c r="AQ151" s="22"/>
      <c r="AR151" s="22"/>
      <c r="AS151" s="22"/>
    </row>
    <row r="152" spans="1:45" x14ac:dyDescent="0.3">
      <c r="A152" s="22"/>
      <c r="B152" s="71"/>
      <c r="C152" s="22"/>
      <c r="D152" s="23"/>
      <c r="E152" s="22"/>
      <c r="F152" s="22"/>
      <c r="G152" s="22"/>
      <c r="H152" s="23"/>
      <c r="I152" s="22"/>
      <c r="J152" s="22"/>
      <c r="K152" s="22"/>
      <c r="L152" s="23"/>
      <c r="M152" s="71"/>
      <c r="N152" s="71"/>
      <c r="O152" s="22"/>
      <c r="P152" s="22"/>
      <c r="Q152" s="22"/>
      <c r="R152" s="71"/>
      <c r="AC152" s="22"/>
      <c r="AD152" s="22"/>
      <c r="AE152" s="22"/>
      <c r="AF152" s="22"/>
      <c r="AG152" s="22"/>
      <c r="AH152" s="22"/>
      <c r="AI152" s="22"/>
      <c r="AJ152" s="22"/>
      <c r="AK152" s="22"/>
      <c r="AL152" s="22"/>
      <c r="AM152" s="22"/>
      <c r="AN152" s="22"/>
      <c r="AO152" s="22"/>
      <c r="AP152" s="22"/>
      <c r="AQ152" s="22"/>
      <c r="AR152" s="22"/>
      <c r="AS152" s="22"/>
    </row>
    <row r="153" spans="1:45" x14ac:dyDescent="0.3">
      <c r="A153" s="22"/>
      <c r="B153" s="71"/>
      <c r="C153" s="22"/>
      <c r="D153" s="23"/>
      <c r="E153" s="22"/>
      <c r="F153" s="22"/>
      <c r="G153" s="22"/>
      <c r="H153" s="23"/>
      <c r="I153" s="22"/>
      <c r="J153" s="22"/>
      <c r="K153" s="22"/>
      <c r="L153" s="23"/>
      <c r="M153" s="71"/>
      <c r="N153" s="71"/>
      <c r="O153" s="22"/>
      <c r="P153" s="22"/>
      <c r="Q153" s="22"/>
      <c r="R153" s="71"/>
      <c r="AC153" s="22"/>
      <c r="AD153" s="22"/>
      <c r="AE153" s="22"/>
      <c r="AF153" s="22"/>
      <c r="AG153" s="22"/>
      <c r="AH153" s="22"/>
      <c r="AI153" s="22"/>
      <c r="AJ153" s="22"/>
      <c r="AK153" s="22"/>
      <c r="AL153" s="22"/>
      <c r="AM153" s="22"/>
      <c r="AN153" s="22"/>
      <c r="AO153" s="22"/>
      <c r="AP153" s="22"/>
      <c r="AQ153" s="22"/>
      <c r="AR153" s="22"/>
      <c r="AS153" s="22"/>
    </row>
    <row r="154" spans="1:45" x14ac:dyDescent="0.3">
      <c r="A154" s="22"/>
      <c r="B154" s="71"/>
      <c r="C154" s="22"/>
      <c r="D154" s="23"/>
      <c r="E154" s="22"/>
      <c r="F154" s="22"/>
      <c r="G154" s="22"/>
      <c r="H154" s="23"/>
      <c r="I154" s="22"/>
      <c r="J154" s="22"/>
      <c r="K154" s="22"/>
      <c r="L154" s="23"/>
      <c r="M154" s="71"/>
      <c r="N154" s="71"/>
      <c r="O154" s="22"/>
      <c r="P154" s="22"/>
      <c r="Q154" s="22"/>
      <c r="R154" s="71"/>
      <c r="AC154" s="22"/>
      <c r="AD154" s="22"/>
      <c r="AE154" s="22"/>
      <c r="AF154" s="22"/>
      <c r="AG154" s="22"/>
      <c r="AH154" s="22"/>
      <c r="AI154" s="22"/>
      <c r="AJ154" s="22"/>
      <c r="AK154" s="22"/>
      <c r="AL154" s="22"/>
      <c r="AM154" s="22"/>
      <c r="AN154" s="22"/>
      <c r="AO154" s="22"/>
      <c r="AP154" s="22"/>
      <c r="AQ154" s="22"/>
      <c r="AR154" s="22"/>
      <c r="AS154" s="22"/>
    </row>
    <row r="155" spans="1:45" x14ac:dyDescent="0.3">
      <c r="A155" s="22"/>
      <c r="B155" s="71"/>
      <c r="C155" s="22"/>
      <c r="D155" s="23"/>
      <c r="E155" s="22"/>
      <c r="F155" s="22"/>
      <c r="G155" s="22"/>
      <c r="H155" s="23"/>
      <c r="I155" s="22"/>
      <c r="J155" s="22"/>
      <c r="K155" s="22"/>
      <c r="L155" s="23"/>
      <c r="M155" s="71"/>
      <c r="N155" s="71"/>
      <c r="O155" s="22"/>
      <c r="P155" s="22"/>
      <c r="Q155" s="22"/>
      <c r="R155" s="71"/>
      <c r="AC155" s="22"/>
      <c r="AD155" s="22"/>
      <c r="AE155" s="22"/>
      <c r="AF155" s="22"/>
      <c r="AG155" s="22"/>
      <c r="AH155" s="22"/>
      <c r="AI155" s="22"/>
      <c r="AJ155" s="22"/>
      <c r="AK155" s="22"/>
      <c r="AL155" s="22"/>
      <c r="AM155" s="22"/>
      <c r="AN155" s="22"/>
      <c r="AO155" s="22"/>
      <c r="AP155" s="22"/>
      <c r="AQ155" s="22"/>
      <c r="AR155" s="22"/>
      <c r="AS155" s="22"/>
    </row>
    <row r="156" spans="1:45" x14ac:dyDescent="0.3">
      <c r="A156" s="22"/>
      <c r="B156" s="71"/>
      <c r="C156" s="22"/>
      <c r="D156" s="23"/>
      <c r="E156" s="22"/>
      <c r="F156" s="22"/>
      <c r="G156" s="22"/>
      <c r="H156" s="23"/>
      <c r="I156" s="22"/>
      <c r="J156" s="22"/>
      <c r="K156" s="22"/>
      <c r="L156" s="23"/>
      <c r="M156" s="71"/>
      <c r="N156" s="71"/>
      <c r="O156" s="22"/>
      <c r="P156" s="22"/>
      <c r="Q156" s="22"/>
      <c r="R156" s="71"/>
      <c r="AC156" s="22"/>
      <c r="AD156" s="22"/>
      <c r="AE156" s="22"/>
      <c r="AF156" s="22"/>
      <c r="AG156" s="22"/>
      <c r="AH156" s="22"/>
      <c r="AI156" s="22"/>
      <c r="AJ156" s="22"/>
      <c r="AK156" s="22"/>
      <c r="AL156" s="22"/>
      <c r="AM156" s="22"/>
      <c r="AN156" s="22"/>
      <c r="AO156" s="22"/>
      <c r="AP156" s="22"/>
      <c r="AQ156" s="22"/>
      <c r="AR156" s="22"/>
      <c r="AS156" s="22"/>
    </row>
    <row r="157" spans="1:45" x14ac:dyDescent="0.3">
      <c r="A157" s="22"/>
      <c r="B157" s="71"/>
      <c r="C157" s="22"/>
      <c r="D157" s="23"/>
      <c r="E157" s="22"/>
      <c r="F157" s="22"/>
      <c r="G157" s="22"/>
      <c r="H157" s="23"/>
      <c r="I157" s="22"/>
      <c r="J157" s="22"/>
      <c r="K157" s="22"/>
      <c r="L157" s="23"/>
      <c r="M157" s="71"/>
      <c r="N157" s="71"/>
      <c r="O157" s="22"/>
      <c r="P157" s="22"/>
      <c r="Q157" s="22"/>
      <c r="R157" s="71"/>
      <c r="AC157" s="22"/>
      <c r="AD157" s="22"/>
      <c r="AE157" s="22"/>
      <c r="AF157" s="22"/>
      <c r="AG157" s="22"/>
      <c r="AH157" s="22"/>
      <c r="AI157" s="22"/>
      <c r="AJ157" s="22"/>
      <c r="AK157" s="22"/>
      <c r="AL157" s="22"/>
      <c r="AM157" s="22"/>
      <c r="AN157" s="22"/>
      <c r="AO157" s="22"/>
      <c r="AP157" s="22"/>
      <c r="AQ157" s="22"/>
      <c r="AR157" s="22"/>
      <c r="AS157" s="22"/>
    </row>
    <row r="158" spans="1:45" x14ac:dyDescent="0.3">
      <c r="A158" s="22"/>
      <c r="B158" s="71"/>
      <c r="C158" s="22"/>
      <c r="D158" s="23"/>
      <c r="E158" s="22"/>
      <c r="F158" s="22"/>
      <c r="G158" s="22"/>
      <c r="H158" s="23"/>
      <c r="I158" s="22"/>
      <c r="J158" s="22"/>
      <c r="K158" s="22"/>
      <c r="L158" s="23"/>
      <c r="M158" s="71"/>
      <c r="N158" s="71"/>
      <c r="O158" s="22"/>
      <c r="P158" s="22"/>
      <c r="Q158" s="22"/>
      <c r="R158" s="71"/>
      <c r="AC158" s="22"/>
      <c r="AD158" s="22"/>
      <c r="AE158" s="22"/>
      <c r="AF158" s="22"/>
      <c r="AG158" s="22"/>
      <c r="AH158" s="22"/>
      <c r="AI158" s="22"/>
      <c r="AJ158" s="22"/>
      <c r="AK158" s="22"/>
      <c r="AL158" s="22"/>
      <c r="AM158" s="22"/>
      <c r="AN158" s="22"/>
      <c r="AO158" s="22"/>
      <c r="AP158" s="22"/>
      <c r="AQ158" s="22"/>
      <c r="AR158" s="22"/>
      <c r="AS158" s="22"/>
    </row>
    <row r="159" spans="1:45" x14ac:dyDescent="0.3">
      <c r="A159" s="22"/>
      <c r="B159" s="71"/>
      <c r="C159" s="22"/>
      <c r="D159" s="23"/>
      <c r="E159" s="22"/>
      <c r="F159" s="22"/>
      <c r="G159" s="22"/>
      <c r="H159" s="23"/>
      <c r="I159" s="22"/>
      <c r="J159" s="22"/>
      <c r="K159" s="22"/>
      <c r="L159" s="23"/>
      <c r="M159" s="71"/>
      <c r="N159" s="71"/>
      <c r="O159" s="22"/>
      <c r="P159" s="22"/>
      <c r="Q159" s="22"/>
      <c r="R159" s="71"/>
      <c r="AC159" s="22"/>
      <c r="AD159" s="22"/>
      <c r="AE159" s="22"/>
      <c r="AF159" s="22"/>
      <c r="AG159" s="22"/>
      <c r="AH159" s="22"/>
      <c r="AI159" s="22"/>
      <c r="AJ159" s="22"/>
      <c r="AK159" s="22"/>
      <c r="AL159" s="22"/>
      <c r="AM159" s="22"/>
      <c r="AN159" s="22"/>
      <c r="AO159" s="22"/>
      <c r="AP159" s="22"/>
      <c r="AQ159" s="22"/>
      <c r="AR159" s="22"/>
      <c r="AS159" s="22"/>
    </row>
    <row r="160" spans="1:45" x14ac:dyDescent="0.3">
      <c r="A160" s="22"/>
      <c r="B160" s="71"/>
      <c r="C160" s="22"/>
      <c r="D160" s="23"/>
      <c r="E160" s="22"/>
      <c r="F160" s="22"/>
      <c r="G160" s="22"/>
      <c r="H160" s="23"/>
      <c r="I160" s="22"/>
      <c r="J160" s="22"/>
      <c r="K160" s="22"/>
      <c r="L160" s="23"/>
      <c r="M160" s="71"/>
      <c r="N160" s="71"/>
      <c r="O160" s="22"/>
      <c r="P160" s="22"/>
      <c r="Q160" s="22"/>
      <c r="R160" s="71"/>
      <c r="AC160" s="22"/>
      <c r="AD160" s="22"/>
      <c r="AE160" s="22"/>
      <c r="AF160" s="22"/>
      <c r="AG160" s="22"/>
      <c r="AH160" s="22"/>
      <c r="AI160" s="22"/>
      <c r="AJ160" s="22"/>
      <c r="AK160" s="22"/>
      <c r="AL160" s="22"/>
      <c r="AM160" s="22"/>
      <c r="AN160" s="22"/>
      <c r="AO160" s="22"/>
      <c r="AP160" s="22"/>
      <c r="AQ160" s="22"/>
      <c r="AR160" s="22"/>
      <c r="AS160" s="22"/>
    </row>
    <row r="161" spans="1:45" x14ac:dyDescent="0.3">
      <c r="A161" s="22"/>
      <c r="B161" s="71"/>
      <c r="C161" s="22"/>
      <c r="D161" s="23"/>
      <c r="E161" s="22"/>
      <c r="F161" s="22"/>
      <c r="G161" s="22"/>
      <c r="H161" s="23"/>
      <c r="I161" s="22"/>
      <c r="J161" s="22"/>
      <c r="K161" s="22"/>
      <c r="L161" s="23"/>
      <c r="M161" s="71"/>
      <c r="N161" s="71"/>
      <c r="O161" s="22"/>
      <c r="P161" s="22"/>
      <c r="Q161" s="22"/>
      <c r="R161" s="71"/>
      <c r="AC161" s="22"/>
      <c r="AD161" s="22"/>
      <c r="AE161" s="22"/>
      <c r="AF161" s="22"/>
      <c r="AG161" s="22"/>
      <c r="AH161" s="22"/>
      <c r="AI161" s="22"/>
      <c r="AJ161" s="22"/>
      <c r="AK161" s="22"/>
      <c r="AL161" s="22"/>
      <c r="AM161" s="22"/>
      <c r="AN161" s="22"/>
      <c r="AO161" s="22"/>
      <c r="AP161" s="22"/>
      <c r="AQ161" s="22"/>
      <c r="AR161" s="22"/>
      <c r="AS161" s="22"/>
    </row>
    <row r="162" spans="1:45" x14ac:dyDescent="0.3">
      <c r="A162" s="22"/>
      <c r="B162" s="71"/>
      <c r="C162" s="22"/>
      <c r="D162" s="23"/>
      <c r="E162" s="22"/>
      <c r="F162" s="22"/>
      <c r="G162" s="22"/>
      <c r="H162" s="23"/>
      <c r="I162" s="22"/>
      <c r="J162" s="22"/>
      <c r="K162" s="22"/>
      <c r="L162" s="23"/>
      <c r="M162" s="71"/>
      <c r="N162" s="71"/>
      <c r="O162" s="22"/>
      <c r="P162" s="22"/>
      <c r="Q162" s="22"/>
      <c r="R162" s="71"/>
      <c r="AC162" s="22"/>
      <c r="AD162" s="22"/>
      <c r="AE162" s="22"/>
      <c r="AF162" s="22"/>
      <c r="AG162" s="22"/>
      <c r="AH162" s="22"/>
      <c r="AI162" s="22"/>
      <c r="AJ162" s="22"/>
      <c r="AK162" s="22"/>
      <c r="AL162" s="22"/>
      <c r="AM162" s="22"/>
      <c r="AN162" s="22"/>
      <c r="AO162" s="22"/>
      <c r="AP162" s="22"/>
      <c r="AQ162" s="22"/>
      <c r="AR162" s="22"/>
      <c r="AS162" s="22"/>
    </row>
    <row r="163" spans="1:45" x14ac:dyDescent="0.3">
      <c r="A163" s="22"/>
      <c r="B163" s="71"/>
      <c r="C163" s="22"/>
      <c r="D163" s="23"/>
      <c r="E163" s="22"/>
      <c r="F163" s="22"/>
      <c r="G163" s="22"/>
      <c r="H163" s="23"/>
      <c r="I163" s="22"/>
      <c r="J163" s="22"/>
      <c r="K163" s="22"/>
      <c r="L163" s="23"/>
      <c r="M163" s="71"/>
      <c r="N163" s="71"/>
      <c r="O163" s="22"/>
      <c r="P163" s="22"/>
      <c r="Q163" s="22"/>
      <c r="R163" s="71"/>
      <c r="AC163" s="22"/>
      <c r="AD163" s="22"/>
      <c r="AE163" s="22"/>
      <c r="AF163" s="22"/>
      <c r="AG163" s="22"/>
      <c r="AH163" s="22"/>
      <c r="AI163" s="22"/>
      <c r="AJ163" s="22"/>
      <c r="AK163" s="22"/>
      <c r="AL163" s="22"/>
      <c r="AM163" s="22"/>
      <c r="AN163" s="22"/>
      <c r="AO163" s="22"/>
      <c r="AP163" s="22"/>
      <c r="AQ163" s="22"/>
      <c r="AR163" s="22"/>
      <c r="AS163" s="22"/>
    </row>
    <row r="164" spans="1:45" x14ac:dyDescent="0.3">
      <c r="A164" s="22"/>
      <c r="B164" s="71"/>
      <c r="C164" s="22"/>
      <c r="D164" s="23"/>
      <c r="E164" s="22"/>
      <c r="F164" s="22"/>
      <c r="G164" s="22"/>
      <c r="H164" s="23"/>
      <c r="I164" s="22"/>
      <c r="J164" s="22"/>
      <c r="K164" s="22"/>
      <c r="L164" s="23"/>
      <c r="M164" s="71"/>
      <c r="N164" s="71"/>
      <c r="O164" s="22"/>
      <c r="P164" s="22"/>
      <c r="Q164" s="22"/>
      <c r="R164" s="71"/>
      <c r="AC164" s="22"/>
      <c r="AD164" s="22"/>
      <c r="AE164" s="22"/>
      <c r="AF164" s="22"/>
      <c r="AG164" s="22"/>
      <c r="AH164" s="22"/>
      <c r="AI164" s="22"/>
      <c r="AJ164" s="22"/>
      <c r="AK164" s="22"/>
      <c r="AL164" s="22"/>
      <c r="AM164" s="22"/>
      <c r="AN164" s="22"/>
      <c r="AO164" s="22"/>
      <c r="AP164" s="22"/>
      <c r="AQ164" s="22"/>
      <c r="AR164" s="22"/>
      <c r="AS164" s="22"/>
    </row>
    <row r="165" spans="1:45" x14ac:dyDescent="0.3">
      <c r="A165" s="22"/>
      <c r="B165" s="71"/>
      <c r="C165" s="22"/>
      <c r="D165" s="23"/>
      <c r="E165" s="22"/>
      <c r="F165" s="22"/>
      <c r="G165" s="22"/>
      <c r="H165" s="23"/>
      <c r="I165" s="22"/>
      <c r="J165" s="22"/>
      <c r="K165" s="22"/>
      <c r="L165" s="23"/>
      <c r="M165" s="71"/>
      <c r="N165" s="71"/>
      <c r="O165" s="22"/>
      <c r="P165" s="22"/>
      <c r="Q165" s="22"/>
      <c r="R165" s="71"/>
      <c r="AC165" s="22"/>
      <c r="AD165" s="22"/>
      <c r="AE165" s="22"/>
      <c r="AF165" s="22"/>
      <c r="AG165" s="22"/>
      <c r="AH165" s="22"/>
      <c r="AI165" s="22"/>
      <c r="AJ165" s="22"/>
      <c r="AK165" s="22"/>
      <c r="AL165" s="22"/>
      <c r="AM165" s="22"/>
      <c r="AN165" s="22"/>
      <c r="AO165" s="22"/>
      <c r="AP165" s="22"/>
      <c r="AQ165" s="22"/>
      <c r="AR165" s="22"/>
      <c r="AS165" s="22"/>
    </row>
    <row r="166" spans="1:45" x14ac:dyDescent="0.3">
      <c r="A166" s="22"/>
      <c r="B166" s="71"/>
      <c r="C166" s="22"/>
      <c r="D166" s="23"/>
      <c r="E166" s="22"/>
      <c r="F166" s="22"/>
      <c r="G166" s="22"/>
      <c r="H166" s="23"/>
      <c r="I166" s="22"/>
      <c r="J166" s="22"/>
      <c r="K166" s="22"/>
      <c r="L166" s="23"/>
      <c r="M166" s="71"/>
      <c r="N166" s="71"/>
      <c r="O166" s="22"/>
      <c r="P166" s="22"/>
      <c r="Q166" s="22"/>
      <c r="R166" s="71"/>
      <c r="AC166" s="22"/>
      <c r="AD166" s="22"/>
      <c r="AE166" s="22"/>
      <c r="AF166" s="22"/>
      <c r="AG166" s="22"/>
      <c r="AH166" s="22"/>
      <c r="AI166" s="22"/>
      <c r="AJ166" s="22"/>
      <c r="AK166" s="22"/>
      <c r="AL166" s="22"/>
      <c r="AM166" s="22"/>
      <c r="AN166" s="22"/>
      <c r="AO166" s="22"/>
      <c r="AP166" s="22"/>
      <c r="AQ166" s="22"/>
      <c r="AR166" s="22"/>
      <c r="AS166" s="22"/>
    </row>
    <row r="167" spans="1:45" x14ac:dyDescent="0.3">
      <c r="A167" s="22"/>
      <c r="B167" s="71"/>
      <c r="C167" s="22"/>
      <c r="D167" s="23"/>
      <c r="E167" s="22"/>
      <c r="F167" s="22"/>
      <c r="G167" s="22"/>
      <c r="H167" s="23"/>
      <c r="I167" s="22"/>
      <c r="J167" s="22"/>
      <c r="K167" s="22"/>
      <c r="L167" s="23"/>
      <c r="M167" s="71"/>
      <c r="N167" s="71"/>
      <c r="O167" s="22"/>
      <c r="P167" s="22"/>
      <c r="Q167" s="22"/>
      <c r="R167" s="71"/>
      <c r="AC167" s="22"/>
      <c r="AD167" s="22"/>
      <c r="AE167" s="22"/>
      <c r="AF167" s="22"/>
      <c r="AG167" s="22"/>
      <c r="AH167" s="22"/>
      <c r="AI167" s="22"/>
      <c r="AJ167" s="22"/>
      <c r="AK167" s="22"/>
      <c r="AL167" s="22"/>
      <c r="AM167" s="22"/>
      <c r="AN167" s="22"/>
      <c r="AO167" s="22"/>
      <c r="AP167" s="22"/>
      <c r="AQ167" s="22"/>
      <c r="AR167" s="22"/>
      <c r="AS167" s="22"/>
    </row>
    <row r="168" spans="1:45" x14ac:dyDescent="0.3">
      <c r="A168" s="22"/>
      <c r="B168" s="71"/>
      <c r="C168" s="22"/>
      <c r="D168" s="23"/>
      <c r="E168" s="22"/>
      <c r="F168" s="22"/>
      <c r="G168" s="22"/>
      <c r="H168" s="23"/>
      <c r="I168" s="22"/>
      <c r="J168" s="22"/>
      <c r="K168" s="22"/>
      <c r="L168" s="23"/>
      <c r="M168" s="71"/>
      <c r="N168" s="71"/>
      <c r="O168" s="22"/>
      <c r="P168" s="22"/>
      <c r="Q168" s="22"/>
      <c r="R168" s="71"/>
      <c r="AC168" s="22"/>
      <c r="AD168" s="22"/>
      <c r="AE168" s="22"/>
      <c r="AF168" s="22"/>
      <c r="AG168" s="22"/>
      <c r="AH168" s="22"/>
      <c r="AI168" s="22"/>
      <c r="AJ168" s="22"/>
      <c r="AK168" s="22"/>
      <c r="AL168" s="22"/>
      <c r="AM168" s="22"/>
      <c r="AN168" s="22"/>
      <c r="AO168" s="22"/>
      <c r="AP168" s="22"/>
      <c r="AQ168" s="22"/>
      <c r="AR168" s="22"/>
      <c r="AS168" s="22"/>
    </row>
    <row r="169" spans="1:45" x14ac:dyDescent="0.3">
      <c r="A169" s="22"/>
      <c r="B169" s="71"/>
      <c r="C169" s="22"/>
      <c r="D169" s="23"/>
      <c r="E169" s="22"/>
      <c r="F169" s="22"/>
      <c r="G169" s="22"/>
      <c r="H169" s="23"/>
      <c r="I169" s="22"/>
      <c r="J169" s="22"/>
      <c r="K169" s="22"/>
      <c r="L169" s="23"/>
      <c r="M169" s="71"/>
      <c r="N169" s="71"/>
      <c r="O169" s="22"/>
      <c r="P169" s="22"/>
      <c r="Q169" s="22"/>
      <c r="R169" s="71"/>
      <c r="AC169" s="22"/>
      <c r="AD169" s="22"/>
      <c r="AE169" s="22"/>
      <c r="AF169" s="22"/>
      <c r="AG169" s="22"/>
      <c r="AH169" s="22"/>
      <c r="AI169" s="22"/>
      <c r="AJ169" s="22"/>
      <c r="AK169" s="22"/>
      <c r="AL169" s="22"/>
      <c r="AM169" s="22"/>
      <c r="AN169" s="22"/>
      <c r="AO169" s="22"/>
      <c r="AP169" s="22"/>
      <c r="AQ169" s="22"/>
      <c r="AR169" s="22"/>
      <c r="AS169" s="22"/>
    </row>
    <row r="170" spans="1:45" x14ac:dyDescent="0.3">
      <c r="A170" s="22"/>
      <c r="B170" s="71"/>
      <c r="C170" s="22"/>
      <c r="D170" s="23"/>
      <c r="E170" s="22"/>
      <c r="F170" s="22"/>
      <c r="G170" s="22"/>
      <c r="H170" s="23"/>
      <c r="I170" s="22"/>
      <c r="J170" s="22"/>
      <c r="K170" s="22"/>
      <c r="L170" s="23"/>
      <c r="M170" s="71"/>
      <c r="N170" s="71"/>
      <c r="O170" s="22"/>
      <c r="P170" s="22"/>
      <c r="Q170" s="22"/>
      <c r="R170" s="71"/>
      <c r="AC170" s="22"/>
      <c r="AD170" s="22"/>
      <c r="AE170" s="22"/>
      <c r="AF170" s="22"/>
      <c r="AG170" s="22"/>
      <c r="AH170" s="22"/>
      <c r="AI170" s="22"/>
      <c r="AJ170" s="22"/>
      <c r="AK170" s="22"/>
      <c r="AL170" s="22"/>
      <c r="AM170" s="22"/>
      <c r="AN170" s="22"/>
      <c r="AO170" s="22"/>
      <c r="AP170" s="22"/>
      <c r="AQ170" s="22"/>
      <c r="AR170" s="22"/>
      <c r="AS170" s="22"/>
    </row>
    <row r="171" spans="1:45" x14ac:dyDescent="0.3">
      <c r="A171" s="22"/>
      <c r="B171" s="71"/>
      <c r="C171" s="22"/>
      <c r="D171" s="23"/>
      <c r="E171" s="22"/>
      <c r="F171" s="22"/>
      <c r="G171" s="22"/>
      <c r="H171" s="23"/>
      <c r="I171" s="22"/>
      <c r="J171" s="22"/>
      <c r="K171" s="22"/>
      <c r="L171" s="23"/>
      <c r="M171" s="71"/>
      <c r="N171" s="71"/>
      <c r="O171" s="22"/>
      <c r="P171" s="22"/>
      <c r="Q171" s="22"/>
      <c r="R171" s="71"/>
      <c r="AC171" s="22"/>
      <c r="AD171" s="22"/>
      <c r="AE171" s="22"/>
      <c r="AF171" s="22"/>
      <c r="AG171" s="22"/>
      <c r="AH171" s="22"/>
      <c r="AI171" s="22"/>
      <c r="AJ171" s="22"/>
      <c r="AK171" s="22"/>
      <c r="AL171" s="22"/>
      <c r="AM171" s="22"/>
      <c r="AN171" s="22"/>
      <c r="AO171" s="22"/>
      <c r="AP171" s="22"/>
      <c r="AQ171" s="22"/>
      <c r="AR171" s="22"/>
      <c r="AS171" s="22"/>
    </row>
    <row r="172" spans="1:45" x14ac:dyDescent="0.3">
      <c r="A172" s="22"/>
      <c r="B172" s="71"/>
      <c r="C172" s="22"/>
      <c r="D172" s="23"/>
      <c r="E172" s="22"/>
      <c r="F172" s="22"/>
      <c r="G172" s="22"/>
      <c r="H172" s="23"/>
      <c r="I172" s="22"/>
      <c r="J172" s="22"/>
      <c r="K172" s="22"/>
      <c r="L172" s="23"/>
      <c r="M172" s="71"/>
      <c r="N172" s="71"/>
      <c r="O172" s="22"/>
      <c r="P172" s="22"/>
      <c r="Q172" s="22"/>
      <c r="R172" s="71"/>
      <c r="AC172" s="22"/>
      <c r="AD172" s="22"/>
      <c r="AE172" s="22"/>
      <c r="AF172" s="22"/>
      <c r="AG172" s="22"/>
      <c r="AH172" s="22"/>
      <c r="AI172" s="22"/>
      <c r="AJ172" s="22"/>
      <c r="AK172" s="22"/>
      <c r="AL172" s="22"/>
      <c r="AM172" s="22"/>
      <c r="AN172" s="22"/>
      <c r="AO172" s="22"/>
      <c r="AP172" s="22"/>
      <c r="AQ172" s="22"/>
      <c r="AR172" s="22"/>
      <c r="AS172" s="22"/>
    </row>
    <row r="173" spans="1:45" x14ac:dyDescent="0.3">
      <c r="A173" s="22"/>
      <c r="B173" s="71"/>
      <c r="C173" s="22"/>
      <c r="D173" s="23"/>
      <c r="E173" s="22"/>
      <c r="F173" s="22"/>
      <c r="G173" s="22"/>
      <c r="H173" s="23"/>
      <c r="I173" s="22"/>
      <c r="J173" s="22"/>
      <c r="K173" s="22"/>
      <c r="L173" s="23"/>
      <c r="M173" s="71"/>
      <c r="N173" s="71"/>
      <c r="O173" s="22"/>
      <c r="P173" s="22"/>
      <c r="Q173" s="22"/>
      <c r="R173" s="71"/>
      <c r="AC173" s="22"/>
      <c r="AD173" s="22"/>
      <c r="AE173" s="22"/>
      <c r="AF173" s="22"/>
      <c r="AG173" s="22"/>
      <c r="AH173" s="22"/>
      <c r="AI173" s="22"/>
      <c r="AJ173" s="22"/>
      <c r="AK173" s="22"/>
      <c r="AL173" s="22"/>
      <c r="AM173" s="22"/>
      <c r="AN173" s="22"/>
      <c r="AO173" s="22"/>
      <c r="AP173" s="22"/>
      <c r="AQ173" s="22"/>
      <c r="AR173" s="22"/>
      <c r="AS173" s="22"/>
    </row>
    <row r="174" spans="1:45" x14ac:dyDescent="0.3">
      <c r="A174" s="22"/>
      <c r="B174" s="71"/>
      <c r="C174" s="22"/>
      <c r="D174" s="23"/>
      <c r="E174" s="22"/>
      <c r="F174" s="22"/>
      <c r="G174" s="22"/>
      <c r="H174" s="23"/>
      <c r="I174" s="22"/>
      <c r="J174" s="22"/>
      <c r="K174" s="22"/>
      <c r="L174" s="23"/>
      <c r="M174" s="71"/>
      <c r="N174" s="71"/>
      <c r="O174" s="22"/>
      <c r="P174" s="22"/>
      <c r="Q174" s="22"/>
      <c r="R174" s="71"/>
      <c r="AC174" s="22"/>
      <c r="AD174" s="22"/>
      <c r="AE174" s="22"/>
      <c r="AF174" s="22"/>
      <c r="AG174" s="22"/>
      <c r="AH174" s="22"/>
      <c r="AI174" s="22"/>
      <c r="AJ174" s="22"/>
      <c r="AK174" s="22"/>
      <c r="AL174" s="22"/>
      <c r="AM174" s="22"/>
      <c r="AN174" s="22"/>
      <c r="AO174" s="22"/>
      <c r="AP174" s="22"/>
      <c r="AQ174" s="22"/>
      <c r="AR174" s="22"/>
      <c r="AS174" s="22"/>
    </row>
    <row r="175" spans="1:45" x14ac:dyDescent="0.3">
      <c r="A175" s="22"/>
      <c r="B175" s="71"/>
      <c r="C175" s="22"/>
      <c r="D175" s="23"/>
      <c r="E175" s="22"/>
      <c r="F175" s="22"/>
      <c r="G175" s="22"/>
      <c r="H175" s="23"/>
      <c r="I175" s="22"/>
      <c r="J175" s="22"/>
      <c r="K175" s="22"/>
      <c r="L175" s="23"/>
      <c r="M175" s="71"/>
      <c r="N175" s="71"/>
      <c r="O175" s="22"/>
      <c r="P175" s="22"/>
      <c r="Q175" s="22"/>
      <c r="R175" s="71"/>
      <c r="AC175" s="22"/>
      <c r="AD175" s="22"/>
      <c r="AE175" s="22"/>
      <c r="AF175" s="22"/>
      <c r="AG175" s="22"/>
      <c r="AH175" s="22"/>
      <c r="AI175" s="22"/>
      <c r="AJ175" s="22"/>
      <c r="AK175" s="22"/>
      <c r="AL175" s="22"/>
      <c r="AM175" s="22"/>
      <c r="AN175" s="22"/>
      <c r="AO175" s="22"/>
      <c r="AP175" s="22"/>
      <c r="AQ175" s="22"/>
      <c r="AR175" s="22"/>
      <c r="AS175" s="22"/>
    </row>
    <row r="176" spans="1:45" x14ac:dyDescent="0.3">
      <c r="A176" s="22"/>
      <c r="B176" s="71"/>
      <c r="C176" s="22"/>
      <c r="D176" s="23"/>
      <c r="E176" s="22"/>
      <c r="F176" s="22"/>
      <c r="G176" s="22"/>
      <c r="H176" s="23"/>
      <c r="I176" s="22"/>
      <c r="J176" s="22"/>
      <c r="K176" s="22"/>
      <c r="L176" s="23"/>
      <c r="M176" s="71"/>
      <c r="N176" s="71"/>
      <c r="O176" s="22"/>
      <c r="P176" s="22"/>
      <c r="Q176" s="22"/>
      <c r="R176" s="71"/>
      <c r="AC176" s="22"/>
      <c r="AD176" s="22"/>
      <c r="AE176" s="22"/>
      <c r="AF176" s="22"/>
      <c r="AG176" s="22"/>
      <c r="AH176" s="22"/>
      <c r="AI176" s="22"/>
      <c r="AJ176" s="22"/>
      <c r="AK176" s="22"/>
      <c r="AL176" s="22"/>
      <c r="AM176" s="22"/>
      <c r="AN176" s="22"/>
      <c r="AO176" s="22"/>
      <c r="AP176" s="22"/>
      <c r="AQ176" s="22"/>
      <c r="AR176" s="22"/>
      <c r="AS176" s="22"/>
    </row>
    <row r="177" spans="1:45" x14ac:dyDescent="0.3">
      <c r="A177" s="22"/>
      <c r="B177" s="71"/>
      <c r="C177" s="22"/>
      <c r="D177" s="23"/>
      <c r="E177" s="22"/>
      <c r="F177" s="22"/>
      <c r="G177" s="22"/>
      <c r="H177" s="23"/>
      <c r="I177" s="22"/>
      <c r="J177" s="22"/>
      <c r="K177" s="22"/>
      <c r="L177" s="23"/>
      <c r="M177" s="71"/>
      <c r="N177" s="71"/>
      <c r="O177" s="22"/>
      <c r="P177" s="22"/>
      <c r="Q177" s="22"/>
      <c r="R177" s="71"/>
      <c r="AC177" s="22"/>
      <c r="AD177" s="22"/>
      <c r="AE177" s="22"/>
      <c r="AF177" s="22"/>
      <c r="AG177" s="22"/>
      <c r="AH177" s="22"/>
      <c r="AI177" s="22"/>
      <c r="AJ177" s="22"/>
      <c r="AK177" s="22"/>
      <c r="AL177" s="22"/>
      <c r="AM177" s="22"/>
      <c r="AN177" s="22"/>
      <c r="AO177" s="22"/>
      <c r="AP177" s="22"/>
      <c r="AQ177" s="22"/>
      <c r="AR177" s="22"/>
      <c r="AS177" s="22"/>
    </row>
    <row r="178" spans="1:45" x14ac:dyDescent="0.3">
      <c r="A178" s="22"/>
      <c r="B178" s="71"/>
      <c r="C178" s="22"/>
      <c r="D178" s="23"/>
      <c r="E178" s="22"/>
      <c r="F178" s="22"/>
      <c r="G178" s="22"/>
      <c r="H178" s="23"/>
      <c r="I178" s="22"/>
      <c r="J178" s="22"/>
      <c r="K178" s="22"/>
      <c r="L178" s="23"/>
      <c r="M178" s="71"/>
      <c r="N178" s="71"/>
      <c r="O178" s="22"/>
      <c r="P178" s="22"/>
      <c r="Q178" s="22"/>
      <c r="R178" s="71"/>
      <c r="AC178" s="22"/>
      <c r="AD178" s="22"/>
      <c r="AE178" s="22"/>
      <c r="AF178" s="22"/>
      <c r="AG178" s="22"/>
      <c r="AH178" s="22"/>
      <c r="AI178" s="22"/>
      <c r="AJ178" s="22"/>
      <c r="AK178" s="22"/>
      <c r="AL178" s="22"/>
      <c r="AM178" s="22"/>
      <c r="AN178" s="22"/>
      <c r="AO178" s="22"/>
      <c r="AP178" s="22"/>
      <c r="AQ178" s="22"/>
      <c r="AR178" s="22"/>
      <c r="AS178" s="22"/>
    </row>
    <row r="179" spans="1:45" x14ac:dyDescent="0.3">
      <c r="A179" s="22"/>
      <c r="B179" s="71"/>
      <c r="C179" s="22"/>
      <c r="D179" s="23"/>
      <c r="E179" s="22"/>
      <c r="F179" s="22"/>
      <c r="G179" s="22"/>
      <c r="H179" s="23"/>
      <c r="I179" s="22"/>
      <c r="J179" s="22"/>
      <c r="K179" s="22"/>
      <c r="L179" s="23"/>
      <c r="M179" s="71"/>
      <c r="N179" s="71"/>
      <c r="O179" s="22"/>
      <c r="P179" s="22"/>
      <c r="Q179" s="22"/>
      <c r="R179" s="71"/>
      <c r="AC179" s="22"/>
      <c r="AD179" s="22"/>
      <c r="AE179" s="22"/>
      <c r="AF179" s="22"/>
      <c r="AG179" s="22"/>
      <c r="AH179" s="22"/>
      <c r="AI179" s="22"/>
      <c r="AJ179" s="22"/>
      <c r="AK179" s="22"/>
      <c r="AL179" s="22"/>
      <c r="AM179" s="22"/>
      <c r="AN179" s="22"/>
      <c r="AO179" s="22"/>
      <c r="AP179" s="22"/>
      <c r="AQ179" s="22"/>
      <c r="AR179" s="22"/>
      <c r="AS179" s="22"/>
    </row>
    <row r="180" spans="1:45" x14ac:dyDescent="0.3">
      <c r="A180" s="22"/>
      <c r="B180" s="71"/>
      <c r="C180" s="22"/>
      <c r="D180" s="23"/>
      <c r="E180" s="22"/>
      <c r="F180" s="22"/>
      <c r="G180" s="22"/>
      <c r="H180" s="23"/>
      <c r="I180" s="22"/>
      <c r="J180" s="22"/>
      <c r="K180" s="22"/>
      <c r="L180" s="23"/>
      <c r="M180" s="71"/>
      <c r="N180" s="71"/>
      <c r="O180" s="22"/>
      <c r="P180" s="22"/>
      <c r="Q180" s="22"/>
      <c r="R180" s="71"/>
      <c r="AC180" s="22"/>
      <c r="AD180" s="22"/>
      <c r="AE180" s="22"/>
      <c r="AF180" s="22"/>
      <c r="AG180" s="22"/>
      <c r="AH180" s="22"/>
      <c r="AI180" s="22"/>
      <c r="AJ180" s="22"/>
      <c r="AK180" s="22"/>
      <c r="AL180" s="22"/>
      <c r="AM180" s="22"/>
      <c r="AN180" s="22"/>
      <c r="AO180" s="22"/>
      <c r="AP180" s="22"/>
      <c r="AQ180" s="22"/>
      <c r="AR180" s="22"/>
      <c r="AS180" s="22"/>
    </row>
    <row r="181" spans="1:45" x14ac:dyDescent="0.3">
      <c r="A181" s="22"/>
      <c r="B181" s="71"/>
      <c r="C181" s="22"/>
      <c r="D181" s="23"/>
      <c r="E181" s="22"/>
      <c r="F181" s="22"/>
      <c r="G181" s="22"/>
      <c r="H181" s="23"/>
      <c r="I181" s="22"/>
      <c r="J181" s="22"/>
      <c r="K181" s="22"/>
      <c r="L181" s="23"/>
      <c r="M181" s="71"/>
      <c r="N181" s="71"/>
      <c r="O181" s="22"/>
      <c r="P181" s="22"/>
      <c r="Q181" s="22"/>
      <c r="R181" s="71"/>
      <c r="AC181" s="22"/>
      <c r="AD181" s="22"/>
      <c r="AE181" s="22"/>
      <c r="AF181" s="22"/>
      <c r="AG181" s="22"/>
      <c r="AH181" s="22"/>
      <c r="AI181" s="22"/>
      <c r="AJ181" s="22"/>
      <c r="AK181" s="22"/>
      <c r="AL181" s="22"/>
      <c r="AM181" s="22"/>
      <c r="AN181" s="22"/>
      <c r="AO181" s="22"/>
      <c r="AP181" s="22"/>
      <c r="AQ181" s="22"/>
      <c r="AR181" s="22"/>
      <c r="AS181" s="22"/>
    </row>
    <row r="182" spans="1:45" x14ac:dyDescent="0.3">
      <c r="A182" s="22"/>
      <c r="B182" s="71"/>
      <c r="C182" s="22"/>
      <c r="D182" s="23"/>
      <c r="E182" s="22"/>
      <c r="F182" s="22"/>
      <c r="G182" s="22"/>
      <c r="H182" s="23"/>
      <c r="I182" s="22"/>
      <c r="J182" s="22"/>
      <c r="K182" s="22"/>
      <c r="L182" s="23"/>
      <c r="M182" s="71"/>
      <c r="N182" s="71"/>
      <c r="O182" s="22"/>
      <c r="P182" s="22"/>
      <c r="Q182" s="22"/>
      <c r="R182" s="71"/>
      <c r="AC182" s="22"/>
      <c r="AD182" s="22"/>
      <c r="AE182" s="22"/>
      <c r="AF182" s="22"/>
      <c r="AG182" s="22"/>
      <c r="AH182" s="22"/>
      <c r="AI182" s="22"/>
      <c r="AJ182" s="22"/>
      <c r="AK182" s="22"/>
      <c r="AL182" s="22"/>
      <c r="AM182" s="22"/>
      <c r="AN182" s="22"/>
      <c r="AO182" s="22"/>
      <c r="AP182" s="22"/>
      <c r="AQ182" s="22"/>
      <c r="AR182" s="22"/>
      <c r="AS182" s="22"/>
    </row>
    <row r="183" spans="1:45" x14ac:dyDescent="0.3">
      <c r="A183" s="22"/>
      <c r="B183" s="71"/>
      <c r="C183" s="22"/>
      <c r="D183" s="23"/>
      <c r="E183" s="22"/>
      <c r="F183" s="22"/>
      <c r="G183" s="22"/>
      <c r="H183" s="23"/>
      <c r="I183" s="22"/>
      <c r="J183" s="22"/>
      <c r="K183" s="22"/>
      <c r="L183" s="23"/>
      <c r="M183" s="71"/>
      <c r="N183" s="71"/>
      <c r="O183" s="22"/>
      <c r="P183" s="22"/>
      <c r="Q183" s="22"/>
      <c r="R183" s="71"/>
      <c r="AC183" s="22"/>
      <c r="AD183" s="22"/>
      <c r="AE183" s="22"/>
      <c r="AF183" s="22"/>
      <c r="AG183" s="22"/>
      <c r="AH183" s="22"/>
      <c r="AI183" s="22"/>
      <c r="AJ183" s="22"/>
      <c r="AK183" s="22"/>
      <c r="AL183" s="22"/>
      <c r="AM183" s="22"/>
      <c r="AN183" s="22"/>
      <c r="AO183" s="22"/>
      <c r="AP183" s="22"/>
      <c r="AQ183" s="22"/>
      <c r="AR183" s="22"/>
      <c r="AS183" s="22"/>
    </row>
    <row r="184" spans="1:45" x14ac:dyDescent="0.3">
      <c r="A184" s="22"/>
      <c r="B184" s="71"/>
      <c r="C184" s="22"/>
      <c r="D184" s="23"/>
      <c r="E184" s="22"/>
      <c r="F184" s="22"/>
      <c r="G184" s="22"/>
      <c r="H184" s="23"/>
      <c r="I184" s="22"/>
      <c r="J184" s="22"/>
      <c r="K184" s="22"/>
      <c r="L184" s="23"/>
      <c r="M184" s="71"/>
      <c r="N184" s="71"/>
      <c r="O184" s="22"/>
      <c r="P184" s="22"/>
      <c r="Q184" s="22"/>
      <c r="R184" s="71"/>
      <c r="AC184" s="22"/>
      <c r="AD184" s="22"/>
      <c r="AE184" s="22"/>
      <c r="AF184" s="22"/>
      <c r="AG184" s="22"/>
      <c r="AH184" s="22"/>
      <c r="AI184" s="22"/>
      <c r="AJ184" s="22"/>
      <c r="AK184" s="22"/>
      <c r="AL184" s="22"/>
      <c r="AM184" s="22"/>
      <c r="AN184" s="22"/>
      <c r="AO184" s="22"/>
      <c r="AP184" s="22"/>
      <c r="AQ184" s="22"/>
      <c r="AR184" s="22"/>
      <c r="AS184" s="22"/>
    </row>
    <row r="185" spans="1:45" x14ac:dyDescent="0.3">
      <c r="A185" s="22"/>
      <c r="B185" s="71"/>
      <c r="C185" s="22"/>
      <c r="D185" s="23"/>
      <c r="E185" s="22"/>
      <c r="F185" s="22"/>
      <c r="G185" s="22"/>
      <c r="H185" s="23"/>
      <c r="I185" s="22"/>
      <c r="J185" s="22"/>
      <c r="K185" s="22"/>
      <c r="L185" s="23"/>
      <c r="M185" s="71"/>
      <c r="N185" s="71"/>
      <c r="O185" s="22"/>
      <c r="P185" s="22"/>
      <c r="Q185" s="22"/>
      <c r="R185" s="71"/>
      <c r="AC185" s="22"/>
      <c r="AD185" s="22"/>
      <c r="AE185" s="22"/>
      <c r="AF185" s="22"/>
      <c r="AG185" s="22"/>
      <c r="AH185" s="22"/>
      <c r="AI185" s="22"/>
      <c r="AJ185" s="22"/>
      <c r="AK185" s="22"/>
      <c r="AL185" s="22"/>
      <c r="AM185" s="22"/>
      <c r="AN185" s="22"/>
      <c r="AO185" s="22"/>
      <c r="AP185" s="22"/>
      <c r="AQ185" s="22"/>
      <c r="AR185" s="22"/>
      <c r="AS185" s="22"/>
    </row>
    <row r="186" spans="1:45" x14ac:dyDescent="0.3">
      <c r="A186" s="22"/>
      <c r="B186" s="71"/>
      <c r="C186" s="22"/>
      <c r="D186" s="23"/>
      <c r="E186" s="22"/>
      <c r="F186" s="22"/>
      <c r="G186" s="22"/>
      <c r="H186" s="23"/>
      <c r="I186" s="22"/>
      <c r="J186" s="22"/>
      <c r="K186" s="22"/>
      <c r="L186" s="23"/>
      <c r="M186" s="71"/>
      <c r="N186" s="71"/>
      <c r="O186" s="22"/>
      <c r="P186" s="22"/>
      <c r="Q186" s="22"/>
      <c r="R186" s="71"/>
      <c r="AC186" s="22"/>
      <c r="AD186" s="22"/>
      <c r="AE186" s="22"/>
      <c r="AF186" s="22"/>
      <c r="AG186" s="22"/>
      <c r="AH186" s="22"/>
      <c r="AI186" s="22"/>
      <c r="AJ186" s="22"/>
      <c r="AK186" s="22"/>
      <c r="AL186" s="22"/>
      <c r="AM186" s="22"/>
      <c r="AN186" s="22"/>
      <c r="AO186" s="22"/>
      <c r="AP186" s="22"/>
      <c r="AQ186" s="22"/>
      <c r="AR186" s="22"/>
      <c r="AS186" s="22"/>
    </row>
    <row r="187" spans="1:45" x14ac:dyDescent="0.3">
      <c r="A187" s="22"/>
      <c r="B187" s="71"/>
      <c r="C187" s="22"/>
      <c r="D187" s="23"/>
      <c r="E187" s="22"/>
      <c r="F187" s="22"/>
      <c r="G187" s="22"/>
      <c r="H187" s="23"/>
      <c r="I187" s="22"/>
      <c r="J187" s="22"/>
      <c r="K187" s="22"/>
      <c r="L187" s="23"/>
      <c r="M187" s="71"/>
      <c r="N187" s="71"/>
      <c r="O187" s="22"/>
      <c r="P187" s="22"/>
      <c r="Q187" s="22"/>
      <c r="R187" s="71"/>
      <c r="AC187" s="22"/>
      <c r="AD187" s="22"/>
      <c r="AE187" s="22"/>
      <c r="AF187" s="22"/>
      <c r="AG187" s="22"/>
      <c r="AH187" s="22"/>
      <c r="AI187" s="22"/>
      <c r="AJ187" s="22"/>
      <c r="AK187" s="22"/>
      <c r="AL187" s="22"/>
      <c r="AM187" s="22"/>
      <c r="AN187" s="22"/>
      <c r="AO187" s="22"/>
      <c r="AP187" s="22"/>
      <c r="AQ187" s="22"/>
      <c r="AR187" s="22"/>
      <c r="AS187" s="22"/>
    </row>
    <row r="188" spans="1:45" x14ac:dyDescent="0.3">
      <c r="A188" s="22"/>
      <c r="B188" s="71"/>
      <c r="C188" s="22"/>
      <c r="D188" s="23"/>
      <c r="E188" s="22"/>
      <c r="F188" s="22"/>
      <c r="G188" s="22"/>
      <c r="H188" s="23"/>
      <c r="I188" s="22"/>
      <c r="J188" s="22"/>
      <c r="K188" s="22"/>
      <c r="L188" s="23"/>
      <c r="M188" s="71"/>
      <c r="N188" s="71"/>
      <c r="O188" s="22"/>
      <c r="P188" s="22"/>
      <c r="Q188" s="22"/>
      <c r="R188" s="71"/>
      <c r="AC188" s="22"/>
      <c r="AD188" s="22"/>
      <c r="AE188" s="22"/>
      <c r="AF188" s="22"/>
      <c r="AG188" s="22"/>
      <c r="AH188" s="22"/>
      <c r="AI188" s="22"/>
      <c r="AJ188" s="22"/>
      <c r="AK188" s="22"/>
      <c r="AL188" s="22"/>
      <c r="AM188" s="22"/>
      <c r="AN188" s="22"/>
      <c r="AO188" s="22"/>
      <c r="AP188" s="22"/>
      <c r="AQ188" s="22"/>
      <c r="AR188" s="22"/>
      <c r="AS188" s="22"/>
    </row>
    <row r="189" spans="1:45" x14ac:dyDescent="0.3">
      <c r="A189" s="22"/>
      <c r="B189" s="71"/>
      <c r="C189" s="22"/>
      <c r="D189" s="23"/>
      <c r="E189" s="22"/>
      <c r="F189" s="22"/>
      <c r="G189" s="22"/>
      <c r="H189" s="23"/>
      <c r="I189" s="22"/>
      <c r="J189" s="22"/>
      <c r="K189" s="22"/>
      <c r="L189" s="23"/>
      <c r="M189" s="71"/>
      <c r="N189" s="71"/>
      <c r="O189" s="22"/>
      <c r="P189" s="22"/>
      <c r="Q189" s="22"/>
      <c r="R189" s="71"/>
      <c r="AC189" s="22"/>
      <c r="AD189" s="22"/>
      <c r="AE189" s="22"/>
      <c r="AF189" s="22"/>
      <c r="AG189" s="22"/>
      <c r="AH189" s="22"/>
      <c r="AI189" s="22"/>
      <c r="AJ189" s="22"/>
      <c r="AK189" s="22"/>
      <c r="AL189" s="22"/>
      <c r="AM189" s="22"/>
      <c r="AN189" s="22"/>
      <c r="AO189" s="22"/>
      <c r="AP189" s="22"/>
      <c r="AQ189" s="22"/>
      <c r="AR189" s="22"/>
      <c r="AS189" s="22"/>
    </row>
    <row r="190" spans="1:45" x14ac:dyDescent="0.3">
      <c r="A190" s="22"/>
      <c r="B190" s="71"/>
      <c r="C190" s="22"/>
      <c r="D190" s="23"/>
      <c r="E190" s="22"/>
      <c r="F190" s="22"/>
      <c r="G190" s="22"/>
      <c r="H190" s="23"/>
      <c r="I190" s="22"/>
      <c r="J190" s="22"/>
      <c r="K190" s="22"/>
      <c r="L190" s="23"/>
      <c r="M190" s="71"/>
      <c r="N190" s="71"/>
      <c r="O190" s="22"/>
      <c r="P190" s="22"/>
      <c r="Q190" s="22"/>
      <c r="R190" s="71"/>
      <c r="AC190" s="22"/>
      <c r="AD190" s="22"/>
      <c r="AE190" s="22"/>
      <c r="AF190" s="22"/>
      <c r="AG190" s="22"/>
      <c r="AH190" s="22"/>
      <c r="AI190" s="22"/>
      <c r="AJ190" s="22"/>
      <c r="AK190" s="22"/>
      <c r="AL190" s="22"/>
      <c r="AM190" s="22"/>
      <c r="AN190" s="22"/>
      <c r="AO190" s="22"/>
      <c r="AP190" s="22"/>
      <c r="AQ190" s="22"/>
      <c r="AR190" s="22"/>
      <c r="AS190" s="22"/>
    </row>
    <row r="191" spans="1:45" x14ac:dyDescent="0.3">
      <c r="A191" s="22"/>
      <c r="B191" s="71"/>
      <c r="C191" s="22"/>
      <c r="D191" s="23"/>
      <c r="E191" s="22"/>
      <c r="F191" s="22"/>
      <c r="G191" s="22"/>
      <c r="H191" s="23"/>
      <c r="I191" s="22"/>
      <c r="J191" s="22"/>
      <c r="K191" s="22"/>
      <c r="L191" s="23"/>
      <c r="M191" s="71"/>
      <c r="N191" s="71"/>
      <c r="O191" s="22"/>
      <c r="P191" s="22"/>
      <c r="Q191" s="22"/>
      <c r="R191" s="71"/>
      <c r="AC191" s="22"/>
      <c r="AD191" s="22"/>
      <c r="AE191" s="22"/>
      <c r="AF191" s="22"/>
      <c r="AG191" s="22"/>
      <c r="AH191" s="22"/>
      <c r="AI191" s="22"/>
      <c r="AJ191" s="22"/>
      <c r="AK191" s="22"/>
      <c r="AL191" s="22"/>
      <c r="AM191" s="22"/>
      <c r="AN191" s="22"/>
      <c r="AO191" s="22"/>
      <c r="AP191" s="22"/>
      <c r="AQ191" s="22"/>
      <c r="AR191" s="22"/>
      <c r="AS191" s="22"/>
    </row>
    <row r="192" spans="1:45" x14ac:dyDescent="0.3">
      <c r="A192" s="22"/>
      <c r="B192" s="71"/>
      <c r="C192" s="22"/>
      <c r="D192" s="23"/>
      <c r="E192" s="22"/>
      <c r="F192" s="22"/>
      <c r="G192" s="22"/>
      <c r="H192" s="23"/>
      <c r="I192" s="22"/>
      <c r="J192" s="22"/>
      <c r="K192" s="22"/>
      <c r="L192" s="23"/>
      <c r="M192" s="71"/>
      <c r="N192" s="71"/>
      <c r="O192" s="22"/>
      <c r="P192" s="22"/>
      <c r="Q192" s="22"/>
      <c r="R192" s="71"/>
      <c r="AC192" s="22"/>
      <c r="AD192" s="22"/>
      <c r="AE192" s="22"/>
      <c r="AF192" s="22"/>
      <c r="AG192" s="22"/>
      <c r="AH192" s="22"/>
      <c r="AI192" s="22"/>
      <c r="AJ192" s="22"/>
      <c r="AK192" s="22"/>
      <c r="AL192" s="22"/>
      <c r="AM192" s="22"/>
      <c r="AN192" s="22"/>
      <c r="AO192" s="22"/>
      <c r="AP192" s="22"/>
      <c r="AQ192" s="22"/>
      <c r="AR192" s="22"/>
      <c r="AS192" s="22"/>
    </row>
    <row r="193" spans="1:45" x14ac:dyDescent="0.3">
      <c r="A193" s="22"/>
      <c r="B193" s="71"/>
      <c r="C193" s="22"/>
      <c r="D193" s="23"/>
      <c r="E193" s="22"/>
      <c r="F193" s="22"/>
      <c r="G193" s="22"/>
      <c r="H193" s="23"/>
      <c r="I193" s="22"/>
      <c r="J193" s="22"/>
      <c r="K193" s="22"/>
      <c r="L193" s="23"/>
      <c r="M193" s="71"/>
      <c r="N193" s="71"/>
      <c r="O193" s="22"/>
      <c r="P193" s="22"/>
      <c r="Q193" s="22"/>
      <c r="R193" s="71"/>
      <c r="AC193" s="22"/>
      <c r="AD193" s="22"/>
      <c r="AE193" s="22"/>
      <c r="AF193" s="22"/>
      <c r="AG193" s="22"/>
      <c r="AH193" s="22"/>
      <c r="AI193" s="22"/>
      <c r="AJ193" s="22"/>
      <c r="AK193" s="22"/>
      <c r="AL193" s="22"/>
      <c r="AM193" s="22"/>
      <c r="AN193" s="22"/>
      <c r="AO193" s="22"/>
      <c r="AP193" s="22"/>
      <c r="AQ193" s="22"/>
      <c r="AR193" s="22"/>
      <c r="AS193" s="22"/>
    </row>
    <row r="194" spans="1:45" x14ac:dyDescent="0.3">
      <c r="A194" s="22"/>
      <c r="B194" s="71"/>
      <c r="C194" s="22"/>
      <c r="D194" s="23"/>
      <c r="E194" s="22"/>
      <c r="F194" s="22"/>
      <c r="G194" s="22"/>
      <c r="H194" s="23"/>
      <c r="I194" s="22"/>
      <c r="J194" s="22"/>
      <c r="K194" s="22"/>
      <c r="L194" s="23"/>
      <c r="M194" s="71"/>
      <c r="N194" s="71"/>
      <c r="O194" s="22"/>
      <c r="P194" s="22"/>
      <c r="Q194" s="22"/>
      <c r="R194" s="71"/>
      <c r="AC194" s="22"/>
      <c r="AD194" s="22"/>
      <c r="AE194" s="22"/>
      <c r="AF194" s="22"/>
      <c r="AG194" s="22"/>
      <c r="AH194" s="22"/>
      <c r="AI194" s="22"/>
      <c r="AJ194" s="22"/>
      <c r="AK194" s="22"/>
      <c r="AL194" s="22"/>
      <c r="AM194" s="22"/>
      <c r="AN194" s="22"/>
      <c r="AO194" s="22"/>
      <c r="AP194" s="22"/>
      <c r="AQ194" s="22"/>
      <c r="AR194" s="22"/>
      <c r="AS194" s="22"/>
    </row>
    <row r="195" spans="1:45" x14ac:dyDescent="0.3">
      <c r="A195" s="22"/>
      <c r="B195" s="71"/>
      <c r="C195" s="22"/>
      <c r="D195" s="23"/>
      <c r="E195" s="22"/>
      <c r="F195" s="22"/>
      <c r="G195" s="22"/>
      <c r="H195" s="23"/>
      <c r="I195" s="22"/>
      <c r="J195" s="22"/>
      <c r="K195" s="22"/>
      <c r="L195" s="23"/>
      <c r="M195" s="71"/>
      <c r="N195" s="71"/>
      <c r="O195" s="22"/>
      <c r="P195" s="22"/>
      <c r="Q195" s="22"/>
      <c r="R195" s="71"/>
      <c r="AC195" s="22"/>
      <c r="AD195" s="22"/>
      <c r="AE195" s="22"/>
      <c r="AF195" s="22"/>
      <c r="AG195" s="22"/>
      <c r="AH195" s="22"/>
      <c r="AI195" s="22"/>
      <c r="AJ195" s="22"/>
      <c r="AK195" s="22"/>
      <c r="AL195" s="22"/>
      <c r="AM195" s="22"/>
      <c r="AN195" s="22"/>
      <c r="AO195" s="22"/>
      <c r="AP195" s="22"/>
      <c r="AQ195" s="22"/>
      <c r="AR195" s="22"/>
      <c r="AS195" s="22"/>
    </row>
    <row r="196" spans="1:45" x14ac:dyDescent="0.3">
      <c r="A196" s="22"/>
      <c r="B196" s="71"/>
      <c r="C196" s="22"/>
      <c r="D196" s="23"/>
      <c r="E196" s="22"/>
      <c r="F196" s="22"/>
      <c r="G196" s="22"/>
      <c r="H196" s="23"/>
      <c r="I196" s="22"/>
      <c r="J196" s="22"/>
      <c r="K196" s="22"/>
      <c r="L196" s="23"/>
      <c r="M196" s="71"/>
      <c r="N196" s="71"/>
      <c r="O196" s="22"/>
      <c r="P196" s="22"/>
      <c r="Q196" s="22"/>
      <c r="R196" s="71"/>
      <c r="AC196" s="22"/>
      <c r="AD196" s="22"/>
      <c r="AE196" s="22"/>
      <c r="AF196" s="22"/>
      <c r="AG196" s="22"/>
      <c r="AH196" s="22"/>
      <c r="AI196" s="22"/>
      <c r="AJ196" s="22"/>
      <c r="AK196" s="22"/>
      <c r="AL196" s="22"/>
      <c r="AM196" s="22"/>
      <c r="AN196" s="22"/>
      <c r="AO196" s="22"/>
      <c r="AP196" s="22"/>
      <c r="AQ196" s="22"/>
      <c r="AR196" s="22"/>
      <c r="AS196" s="22"/>
    </row>
    <row r="197" spans="1:45" x14ac:dyDescent="0.3">
      <c r="A197" s="22"/>
      <c r="B197" s="71"/>
      <c r="C197" s="22"/>
      <c r="D197" s="23"/>
      <c r="E197" s="22"/>
      <c r="F197" s="22"/>
      <c r="G197" s="22"/>
      <c r="H197" s="23"/>
      <c r="I197" s="22"/>
      <c r="J197" s="22"/>
      <c r="K197" s="22"/>
      <c r="L197" s="23"/>
      <c r="M197" s="71"/>
      <c r="N197" s="71"/>
      <c r="O197" s="22"/>
      <c r="P197" s="22"/>
      <c r="Q197" s="22"/>
      <c r="R197" s="71"/>
      <c r="AC197" s="22"/>
      <c r="AD197" s="22"/>
      <c r="AE197" s="22"/>
      <c r="AF197" s="22"/>
      <c r="AG197" s="22"/>
      <c r="AH197" s="22"/>
      <c r="AI197" s="22"/>
      <c r="AJ197" s="22"/>
      <c r="AK197" s="22"/>
      <c r="AL197" s="22"/>
      <c r="AM197" s="22"/>
      <c r="AN197" s="22"/>
      <c r="AO197" s="22"/>
      <c r="AP197" s="22"/>
      <c r="AQ197" s="22"/>
      <c r="AR197" s="22"/>
      <c r="AS197" s="22"/>
    </row>
    <row r="198" spans="1:45" x14ac:dyDescent="0.3">
      <c r="A198" s="22"/>
      <c r="B198" s="71"/>
      <c r="C198" s="22"/>
      <c r="D198" s="23"/>
      <c r="E198" s="22"/>
      <c r="F198" s="22"/>
      <c r="G198" s="22"/>
      <c r="H198" s="23"/>
      <c r="I198" s="22"/>
      <c r="J198" s="22"/>
      <c r="K198" s="22"/>
      <c r="L198" s="23"/>
      <c r="M198" s="71"/>
      <c r="N198" s="71"/>
      <c r="O198" s="22"/>
      <c r="P198" s="22"/>
      <c r="Q198" s="22"/>
      <c r="R198" s="71"/>
      <c r="AC198" s="22"/>
      <c r="AD198" s="22"/>
      <c r="AE198" s="22"/>
      <c r="AF198" s="22"/>
      <c r="AG198" s="22"/>
      <c r="AH198" s="22"/>
      <c r="AI198" s="22"/>
      <c r="AJ198" s="22"/>
      <c r="AK198" s="22"/>
      <c r="AL198" s="22"/>
      <c r="AM198" s="22"/>
      <c r="AN198" s="22"/>
      <c r="AO198" s="22"/>
      <c r="AP198" s="22"/>
      <c r="AQ198" s="22"/>
      <c r="AR198" s="22"/>
      <c r="AS198" s="22"/>
    </row>
    <row r="199" spans="1:45" x14ac:dyDescent="0.3">
      <c r="A199" s="22"/>
      <c r="B199" s="71"/>
      <c r="C199" s="22"/>
      <c r="D199" s="23"/>
      <c r="E199" s="22"/>
      <c r="F199" s="22"/>
      <c r="G199" s="22"/>
      <c r="H199" s="23"/>
      <c r="I199" s="22"/>
      <c r="J199" s="22"/>
      <c r="K199" s="22"/>
      <c r="L199" s="23"/>
      <c r="M199" s="71"/>
      <c r="N199" s="71"/>
      <c r="O199" s="22"/>
      <c r="P199" s="22"/>
      <c r="Q199" s="22"/>
      <c r="R199" s="71"/>
      <c r="AC199" s="22"/>
      <c r="AD199" s="22"/>
      <c r="AE199" s="22"/>
      <c r="AF199" s="22"/>
      <c r="AG199" s="22"/>
      <c r="AH199" s="22"/>
      <c r="AI199" s="22"/>
      <c r="AJ199" s="22"/>
      <c r="AK199" s="22"/>
      <c r="AL199" s="22"/>
      <c r="AM199" s="22"/>
      <c r="AN199" s="22"/>
      <c r="AO199" s="22"/>
      <c r="AP199" s="22"/>
      <c r="AQ199" s="22"/>
      <c r="AR199" s="22"/>
      <c r="AS199" s="22"/>
    </row>
    <row r="200" spans="1:45" x14ac:dyDescent="0.3">
      <c r="A200" s="22"/>
      <c r="B200" s="71"/>
      <c r="C200" s="22"/>
      <c r="D200" s="23"/>
      <c r="E200" s="22"/>
      <c r="F200" s="22"/>
      <c r="G200" s="22"/>
      <c r="H200" s="23"/>
      <c r="I200" s="22"/>
      <c r="J200" s="22"/>
      <c r="K200" s="22"/>
      <c r="L200" s="23"/>
      <c r="M200" s="71"/>
      <c r="N200" s="71"/>
      <c r="O200" s="22"/>
      <c r="P200" s="22"/>
      <c r="Q200" s="22"/>
      <c r="R200" s="71"/>
      <c r="AC200" s="22"/>
      <c r="AD200" s="22"/>
      <c r="AE200" s="22"/>
      <c r="AF200" s="22"/>
      <c r="AG200" s="22"/>
      <c r="AH200" s="22"/>
      <c r="AI200" s="22"/>
      <c r="AJ200" s="22"/>
      <c r="AK200" s="22"/>
      <c r="AL200" s="22"/>
      <c r="AM200" s="22"/>
      <c r="AN200" s="22"/>
      <c r="AO200" s="22"/>
      <c r="AP200" s="22"/>
      <c r="AQ200" s="22"/>
      <c r="AR200" s="22"/>
      <c r="AS200" s="22"/>
    </row>
    <row r="201" spans="1:45" x14ac:dyDescent="0.3">
      <c r="A201" s="22"/>
      <c r="B201" s="71"/>
      <c r="C201" s="22"/>
      <c r="D201" s="23"/>
      <c r="E201" s="22"/>
      <c r="F201" s="22"/>
      <c r="G201" s="22"/>
      <c r="H201" s="23"/>
      <c r="I201" s="22"/>
      <c r="J201" s="22"/>
      <c r="K201" s="22"/>
      <c r="L201" s="23"/>
      <c r="M201" s="71"/>
      <c r="N201" s="71"/>
      <c r="O201" s="22"/>
      <c r="P201" s="22"/>
      <c r="Q201" s="22"/>
      <c r="R201" s="71"/>
      <c r="AC201" s="22"/>
      <c r="AD201" s="22"/>
      <c r="AE201" s="22"/>
      <c r="AF201" s="22"/>
      <c r="AG201" s="22"/>
      <c r="AH201" s="22"/>
      <c r="AI201" s="22"/>
      <c r="AJ201" s="22"/>
      <c r="AK201" s="22"/>
      <c r="AL201" s="22"/>
      <c r="AM201" s="22"/>
      <c r="AN201" s="22"/>
      <c r="AO201" s="22"/>
      <c r="AP201" s="22"/>
      <c r="AQ201" s="22"/>
      <c r="AR201" s="22"/>
      <c r="AS201" s="22"/>
    </row>
    <row r="202" spans="1:45" x14ac:dyDescent="0.3">
      <c r="A202" s="22"/>
      <c r="B202" s="71"/>
      <c r="C202" s="22"/>
      <c r="D202" s="23"/>
      <c r="E202" s="22"/>
      <c r="F202" s="22"/>
      <c r="G202" s="22"/>
      <c r="H202" s="23"/>
      <c r="I202" s="22"/>
      <c r="J202" s="22"/>
      <c r="K202" s="22"/>
      <c r="L202" s="23"/>
      <c r="M202" s="71"/>
      <c r="N202" s="71"/>
      <c r="O202" s="22"/>
      <c r="P202" s="22"/>
      <c r="Q202" s="22"/>
      <c r="R202" s="71"/>
      <c r="AC202" s="22"/>
      <c r="AD202" s="22"/>
      <c r="AE202" s="22"/>
      <c r="AF202" s="22"/>
      <c r="AG202" s="22"/>
      <c r="AH202" s="22"/>
      <c r="AI202" s="22"/>
      <c r="AJ202" s="22"/>
      <c r="AK202" s="22"/>
      <c r="AL202" s="22"/>
      <c r="AM202" s="22"/>
      <c r="AN202" s="22"/>
      <c r="AO202" s="22"/>
      <c r="AP202" s="22"/>
      <c r="AQ202" s="22"/>
      <c r="AR202" s="22"/>
      <c r="AS202" s="22"/>
    </row>
    <row r="203" spans="1:45" x14ac:dyDescent="0.3">
      <c r="A203" s="22"/>
      <c r="B203" s="71"/>
      <c r="C203" s="22"/>
      <c r="D203" s="23"/>
      <c r="E203" s="22"/>
      <c r="F203" s="22"/>
      <c r="G203" s="22"/>
      <c r="H203" s="23"/>
      <c r="I203" s="22"/>
      <c r="J203" s="22"/>
      <c r="K203" s="22"/>
      <c r="L203" s="23"/>
      <c r="M203" s="71"/>
      <c r="N203" s="71"/>
      <c r="O203" s="22"/>
      <c r="P203" s="22"/>
      <c r="Q203" s="22"/>
      <c r="R203" s="71"/>
      <c r="AC203" s="22"/>
      <c r="AD203" s="22"/>
      <c r="AE203" s="22"/>
      <c r="AF203" s="22"/>
      <c r="AG203" s="22"/>
      <c r="AH203" s="22"/>
      <c r="AI203" s="22"/>
      <c r="AJ203" s="22"/>
      <c r="AK203" s="22"/>
      <c r="AL203" s="22"/>
      <c r="AM203" s="22"/>
      <c r="AN203" s="22"/>
      <c r="AO203" s="22"/>
      <c r="AP203" s="22"/>
      <c r="AQ203" s="22"/>
      <c r="AR203" s="22"/>
      <c r="AS203" s="22"/>
    </row>
    <row r="204" spans="1:45" x14ac:dyDescent="0.3">
      <c r="A204" s="22"/>
      <c r="B204" s="71"/>
      <c r="C204" s="22"/>
      <c r="D204" s="23"/>
      <c r="E204" s="22"/>
      <c r="F204" s="22"/>
      <c r="G204" s="22"/>
      <c r="H204" s="23"/>
      <c r="I204" s="22"/>
      <c r="J204" s="22"/>
      <c r="K204" s="22"/>
      <c r="L204" s="23"/>
      <c r="M204" s="71"/>
      <c r="N204" s="71"/>
      <c r="O204" s="22"/>
      <c r="P204" s="22"/>
      <c r="Q204" s="22"/>
      <c r="R204" s="71"/>
      <c r="AC204" s="22"/>
      <c r="AD204" s="22"/>
      <c r="AE204" s="22"/>
      <c r="AF204" s="22"/>
      <c r="AG204" s="22"/>
      <c r="AH204" s="22"/>
      <c r="AI204" s="22"/>
      <c r="AJ204" s="22"/>
      <c r="AK204" s="22"/>
      <c r="AL204" s="22"/>
      <c r="AM204" s="22"/>
      <c r="AN204" s="22"/>
      <c r="AO204" s="22"/>
      <c r="AP204" s="22"/>
      <c r="AQ204" s="22"/>
      <c r="AR204" s="22"/>
      <c r="AS204" s="22"/>
    </row>
    <row r="205" spans="1:45" x14ac:dyDescent="0.3">
      <c r="A205" s="22"/>
      <c r="B205" s="71"/>
      <c r="C205" s="22"/>
      <c r="D205" s="23"/>
      <c r="E205" s="22"/>
      <c r="F205" s="22"/>
      <c r="G205" s="22"/>
      <c r="H205" s="23"/>
      <c r="I205" s="22"/>
      <c r="J205" s="22"/>
      <c r="K205" s="22"/>
      <c r="L205" s="23"/>
      <c r="M205" s="71"/>
      <c r="N205" s="71"/>
      <c r="O205" s="22"/>
      <c r="P205" s="22"/>
      <c r="Q205" s="22"/>
      <c r="R205" s="71"/>
      <c r="AC205" s="22"/>
      <c r="AD205" s="22"/>
      <c r="AE205" s="22"/>
      <c r="AF205" s="22"/>
      <c r="AG205" s="22"/>
      <c r="AH205" s="22"/>
      <c r="AI205" s="22"/>
      <c r="AJ205" s="22"/>
      <c r="AK205" s="22"/>
      <c r="AL205" s="22"/>
      <c r="AM205" s="22"/>
      <c r="AN205" s="22"/>
      <c r="AO205" s="22"/>
      <c r="AP205" s="22"/>
      <c r="AQ205" s="22"/>
      <c r="AR205" s="22"/>
      <c r="AS205" s="22"/>
    </row>
    <row r="206" spans="1:45" x14ac:dyDescent="0.3">
      <c r="A206" s="22"/>
      <c r="B206" s="71"/>
      <c r="C206" s="22"/>
      <c r="D206" s="23"/>
      <c r="E206" s="22"/>
      <c r="F206" s="22"/>
      <c r="G206" s="22"/>
      <c r="H206" s="23"/>
      <c r="I206" s="22"/>
      <c r="J206" s="22"/>
      <c r="K206" s="22"/>
      <c r="L206" s="23"/>
      <c r="M206" s="71"/>
      <c r="N206" s="71"/>
      <c r="O206" s="22"/>
      <c r="P206" s="22"/>
      <c r="Q206" s="22"/>
      <c r="R206" s="71"/>
      <c r="AC206" s="22"/>
      <c r="AD206" s="22"/>
      <c r="AE206" s="22"/>
      <c r="AF206" s="22"/>
      <c r="AG206" s="22"/>
      <c r="AH206" s="22"/>
      <c r="AI206" s="22"/>
      <c r="AJ206" s="22"/>
      <c r="AK206" s="22"/>
      <c r="AL206" s="22"/>
      <c r="AM206" s="22"/>
      <c r="AN206" s="22"/>
      <c r="AO206" s="22"/>
      <c r="AP206" s="22"/>
      <c r="AQ206" s="22"/>
      <c r="AR206" s="22"/>
      <c r="AS206" s="22"/>
    </row>
    <row r="207" spans="1:45" x14ac:dyDescent="0.3">
      <c r="A207" s="22"/>
      <c r="B207" s="71"/>
      <c r="C207" s="22"/>
      <c r="D207" s="23"/>
      <c r="E207" s="22"/>
      <c r="F207" s="22"/>
      <c r="G207" s="22"/>
      <c r="H207" s="23"/>
      <c r="I207" s="22"/>
      <c r="J207" s="22"/>
      <c r="K207" s="22"/>
      <c r="L207" s="23"/>
      <c r="M207" s="71"/>
      <c r="N207" s="71"/>
      <c r="O207" s="22"/>
      <c r="P207" s="22"/>
      <c r="Q207" s="22"/>
      <c r="R207" s="71"/>
      <c r="AC207" s="22"/>
      <c r="AD207" s="22"/>
      <c r="AE207" s="22"/>
      <c r="AF207" s="22"/>
      <c r="AG207" s="22"/>
      <c r="AH207" s="22"/>
      <c r="AI207" s="22"/>
      <c r="AJ207" s="22"/>
      <c r="AK207" s="22"/>
      <c r="AL207" s="22"/>
      <c r="AM207" s="22"/>
      <c r="AN207" s="22"/>
      <c r="AO207" s="22"/>
      <c r="AP207" s="22"/>
      <c r="AQ207" s="22"/>
      <c r="AR207" s="22"/>
      <c r="AS207" s="22"/>
    </row>
    <row r="208" spans="1:45" x14ac:dyDescent="0.3">
      <c r="A208" s="22"/>
      <c r="B208" s="71"/>
      <c r="C208" s="22"/>
      <c r="D208" s="23"/>
      <c r="E208" s="22"/>
      <c r="F208" s="22"/>
      <c r="G208" s="22"/>
      <c r="H208" s="23"/>
      <c r="I208" s="22"/>
      <c r="J208" s="22"/>
      <c r="K208" s="22"/>
      <c r="L208" s="23"/>
      <c r="M208" s="71"/>
      <c r="N208" s="71"/>
      <c r="O208" s="22"/>
      <c r="P208" s="22"/>
      <c r="Q208" s="22"/>
      <c r="R208" s="71"/>
      <c r="AC208" s="22"/>
      <c r="AD208" s="22"/>
      <c r="AE208" s="22"/>
      <c r="AF208" s="22"/>
      <c r="AG208" s="22"/>
      <c r="AH208" s="22"/>
      <c r="AI208" s="22"/>
      <c r="AJ208" s="22"/>
      <c r="AK208" s="22"/>
      <c r="AL208" s="22"/>
      <c r="AM208" s="22"/>
      <c r="AN208" s="22"/>
      <c r="AO208" s="22"/>
      <c r="AP208" s="22"/>
      <c r="AQ208" s="22"/>
      <c r="AR208" s="22"/>
      <c r="AS208" s="22"/>
    </row>
    <row r="209" spans="1:45" x14ac:dyDescent="0.3">
      <c r="A209" s="22"/>
      <c r="B209" s="71"/>
      <c r="C209" s="22"/>
      <c r="D209" s="23"/>
      <c r="E209" s="22"/>
      <c r="F209" s="22"/>
      <c r="G209" s="22"/>
      <c r="H209" s="23"/>
      <c r="I209" s="22"/>
      <c r="J209" s="22"/>
      <c r="K209" s="22"/>
      <c r="L209" s="23"/>
      <c r="M209" s="71"/>
      <c r="N209" s="71"/>
      <c r="O209" s="22"/>
      <c r="P209" s="22"/>
      <c r="Q209" s="22"/>
      <c r="R209" s="71"/>
      <c r="AC209" s="22"/>
      <c r="AD209" s="22"/>
      <c r="AE209" s="22"/>
      <c r="AF209" s="22"/>
      <c r="AG209" s="22"/>
      <c r="AH209" s="22"/>
      <c r="AI209" s="22"/>
      <c r="AJ209" s="22"/>
      <c r="AK209" s="22"/>
      <c r="AL209" s="22"/>
      <c r="AM209" s="22"/>
      <c r="AN209" s="22"/>
      <c r="AO209" s="22"/>
      <c r="AP209" s="22"/>
      <c r="AQ209" s="22"/>
      <c r="AR209" s="22"/>
      <c r="AS209" s="22"/>
    </row>
    <row r="210" spans="1:45" x14ac:dyDescent="0.3">
      <c r="A210" s="22"/>
      <c r="B210" s="71"/>
      <c r="C210" s="22"/>
      <c r="D210" s="23"/>
      <c r="E210" s="22"/>
      <c r="F210" s="22"/>
      <c r="G210" s="22"/>
      <c r="H210" s="23"/>
      <c r="I210" s="22"/>
      <c r="J210" s="22"/>
      <c r="K210" s="22"/>
      <c r="L210" s="23"/>
      <c r="M210" s="71"/>
      <c r="N210" s="71"/>
      <c r="O210" s="22"/>
      <c r="P210" s="22"/>
      <c r="Q210" s="22"/>
      <c r="R210" s="71"/>
      <c r="AC210" s="22"/>
      <c r="AD210" s="22"/>
      <c r="AE210" s="22"/>
      <c r="AF210" s="22"/>
      <c r="AG210" s="22"/>
      <c r="AH210" s="22"/>
      <c r="AI210" s="22"/>
      <c r="AJ210" s="22"/>
      <c r="AK210" s="22"/>
      <c r="AL210" s="22"/>
      <c r="AM210" s="22"/>
      <c r="AN210" s="22"/>
      <c r="AO210" s="22"/>
      <c r="AP210" s="22"/>
      <c r="AQ210" s="22"/>
      <c r="AR210" s="22"/>
      <c r="AS210" s="22"/>
    </row>
    <row r="211" spans="1:45" x14ac:dyDescent="0.3">
      <c r="A211" s="22"/>
      <c r="B211" s="71"/>
      <c r="C211" s="22"/>
      <c r="D211" s="23"/>
      <c r="E211" s="22"/>
      <c r="F211" s="22"/>
      <c r="G211" s="22"/>
      <c r="H211" s="23"/>
      <c r="I211" s="22"/>
      <c r="J211" s="22"/>
      <c r="K211" s="22"/>
      <c r="L211" s="23"/>
      <c r="M211" s="71"/>
      <c r="N211" s="71"/>
      <c r="O211" s="22"/>
      <c r="P211" s="22"/>
      <c r="Q211" s="22"/>
      <c r="R211" s="71"/>
      <c r="AC211" s="22"/>
      <c r="AD211" s="22"/>
      <c r="AE211" s="22"/>
      <c r="AF211" s="22"/>
      <c r="AG211" s="22"/>
      <c r="AH211" s="22"/>
      <c r="AI211" s="22"/>
      <c r="AJ211" s="22"/>
      <c r="AK211" s="22"/>
      <c r="AL211" s="22"/>
      <c r="AM211" s="22"/>
      <c r="AN211" s="22"/>
      <c r="AO211" s="22"/>
      <c r="AP211" s="22"/>
      <c r="AQ211" s="22"/>
      <c r="AR211" s="22"/>
      <c r="AS211" s="22"/>
    </row>
    <row r="212" spans="1:45" x14ac:dyDescent="0.3">
      <c r="A212" s="22"/>
      <c r="B212" s="71"/>
      <c r="C212" s="22"/>
      <c r="D212" s="23"/>
      <c r="E212" s="22"/>
      <c r="F212" s="22"/>
      <c r="G212" s="22"/>
      <c r="H212" s="23"/>
      <c r="I212" s="22"/>
      <c r="J212" s="22"/>
      <c r="K212" s="22"/>
      <c r="L212" s="23"/>
      <c r="M212" s="71"/>
      <c r="N212" s="71"/>
      <c r="O212" s="22"/>
      <c r="P212" s="22"/>
      <c r="Q212" s="22"/>
      <c r="R212" s="71"/>
      <c r="AC212" s="22"/>
      <c r="AD212" s="22"/>
      <c r="AE212" s="22"/>
      <c r="AF212" s="22"/>
      <c r="AG212" s="22"/>
      <c r="AH212" s="22"/>
      <c r="AI212" s="22"/>
      <c r="AJ212" s="22"/>
      <c r="AK212" s="22"/>
      <c r="AL212" s="22"/>
      <c r="AM212" s="22"/>
      <c r="AN212" s="22"/>
      <c r="AO212" s="22"/>
      <c r="AP212" s="22"/>
      <c r="AQ212" s="22"/>
      <c r="AR212" s="22"/>
      <c r="AS212" s="22"/>
    </row>
    <row r="213" spans="1:45" x14ac:dyDescent="0.3">
      <c r="A213" s="22"/>
      <c r="B213" s="71"/>
      <c r="C213" s="22"/>
      <c r="D213" s="23"/>
      <c r="E213" s="22"/>
      <c r="F213" s="22"/>
      <c r="G213" s="22"/>
      <c r="H213" s="23"/>
      <c r="I213" s="22"/>
      <c r="J213" s="22"/>
      <c r="K213" s="22"/>
      <c r="L213" s="23"/>
      <c r="M213" s="71"/>
      <c r="N213" s="71"/>
      <c r="O213" s="22"/>
      <c r="P213" s="22"/>
      <c r="Q213" s="22"/>
      <c r="R213" s="71"/>
      <c r="AC213" s="22"/>
      <c r="AD213" s="22"/>
      <c r="AE213" s="22"/>
      <c r="AF213" s="22"/>
      <c r="AG213" s="22"/>
      <c r="AH213" s="22"/>
      <c r="AI213" s="22"/>
      <c r="AJ213" s="22"/>
      <c r="AK213" s="22"/>
      <c r="AL213" s="22"/>
      <c r="AM213" s="22"/>
      <c r="AN213" s="22"/>
      <c r="AO213" s="22"/>
      <c r="AP213" s="22"/>
      <c r="AQ213" s="22"/>
      <c r="AR213" s="22"/>
      <c r="AS213" s="22"/>
    </row>
    <row r="214" spans="1:45" x14ac:dyDescent="0.3">
      <c r="A214" s="22"/>
      <c r="B214" s="71"/>
      <c r="C214" s="22"/>
      <c r="D214" s="23"/>
      <c r="E214" s="22"/>
      <c r="F214" s="22"/>
      <c r="G214" s="22"/>
      <c r="H214" s="23"/>
      <c r="I214" s="22"/>
      <c r="J214" s="22"/>
      <c r="K214" s="22"/>
      <c r="L214" s="23"/>
      <c r="M214" s="71"/>
      <c r="N214" s="71"/>
      <c r="O214" s="22"/>
      <c r="P214" s="22"/>
      <c r="Q214" s="22"/>
      <c r="R214" s="71"/>
      <c r="AC214" s="22"/>
      <c r="AD214" s="22"/>
      <c r="AE214" s="22"/>
      <c r="AF214" s="22"/>
      <c r="AG214" s="22"/>
      <c r="AH214" s="22"/>
      <c r="AI214" s="22"/>
      <c r="AJ214" s="22"/>
      <c r="AK214" s="22"/>
      <c r="AL214" s="22"/>
      <c r="AM214" s="22"/>
      <c r="AN214" s="22"/>
      <c r="AO214" s="22"/>
      <c r="AP214" s="22"/>
      <c r="AQ214" s="22"/>
      <c r="AR214" s="22"/>
      <c r="AS214" s="22"/>
    </row>
    <row r="215" spans="1:45" x14ac:dyDescent="0.3">
      <c r="A215" s="22"/>
      <c r="B215" s="71"/>
      <c r="C215" s="22"/>
      <c r="D215" s="23"/>
      <c r="E215" s="22"/>
      <c r="F215" s="22"/>
      <c r="G215" s="22"/>
      <c r="H215" s="23"/>
      <c r="I215" s="22"/>
      <c r="J215" s="22"/>
      <c r="K215" s="22"/>
      <c r="L215" s="23"/>
      <c r="M215" s="71"/>
      <c r="N215" s="71"/>
      <c r="O215" s="22"/>
      <c r="P215" s="22"/>
      <c r="Q215" s="22"/>
      <c r="R215" s="71"/>
      <c r="AC215" s="22"/>
      <c r="AD215" s="22"/>
      <c r="AE215" s="22"/>
      <c r="AF215" s="22"/>
      <c r="AG215" s="22"/>
      <c r="AH215" s="22"/>
      <c r="AI215" s="22"/>
      <c r="AJ215" s="22"/>
      <c r="AK215" s="22"/>
      <c r="AL215" s="22"/>
      <c r="AM215" s="22"/>
      <c r="AN215" s="22"/>
      <c r="AO215" s="22"/>
      <c r="AP215" s="22"/>
      <c r="AQ215" s="22"/>
      <c r="AR215" s="22"/>
      <c r="AS215" s="22"/>
    </row>
    <row r="216" spans="1:45" x14ac:dyDescent="0.3">
      <c r="A216" s="22"/>
      <c r="B216" s="71"/>
      <c r="C216" s="22"/>
      <c r="D216" s="23"/>
      <c r="E216" s="22"/>
      <c r="F216" s="22"/>
      <c r="G216" s="22"/>
      <c r="H216" s="23"/>
      <c r="I216" s="22"/>
      <c r="J216" s="22"/>
      <c r="K216" s="22"/>
      <c r="L216" s="23"/>
      <c r="M216" s="71"/>
      <c r="N216" s="71"/>
      <c r="O216" s="22"/>
      <c r="P216" s="22"/>
      <c r="Q216" s="22"/>
      <c r="R216" s="71"/>
      <c r="AC216" s="22"/>
      <c r="AD216" s="22"/>
      <c r="AE216" s="22"/>
      <c r="AF216" s="22"/>
      <c r="AG216" s="22"/>
      <c r="AH216" s="22"/>
      <c r="AI216" s="22"/>
      <c r="AJ216" s="22"/>
      <c r="AK216" s="22"/>
      <c r="AL216" s="22"/>
      <c r="AM216" s="22"/>
      <c r="AN216" s="22"/>
      <c r="AO216" s="22"/>
      <c r="AP216" s="22"/>
      <c r="AQ216" s="22"/>
      <c r="AR216" s="22"/>
      <c r="AS216" s="22"/>
    </row>
    <row r="217" spans="1:45" x14ac:dyDescent="0.3">
      <c r="A217" s="22"/>
      <c r="B217" s="71"/>
      <c r="C217" s="22"/>
      <c r="D217" s="23"/>
      <c r="E217" s="22"/>
      <c r="F217" s="22"/>
      <c r="G217" s="22"/>
      <c r="H217" s="23"/>
      <c r="I217" s="22"/>
      <c r="J217" s="22"/>
      <c r="K217" s="22"/>
      <c r="L217" s="23"/>
      <c r="M217" s="71"/>
      <c r="N217" s="71"/>
      <c r="O217" s="22"/>
      <c r="P217" s="22"/>
      <c r="Q217" s="22"/>
      <c r="R217" s="71"/>
      <c r="AC217" s="22"/>
      <c r="AD217" s="22"/>
      <c r="AE217" s="22"/>
      <c r="AF217" s="22"/>
      <c r="AG217" s="22"/>
      <c r="AH217" s="22"/>
      <c r="AI217" s="22"/>
      <c r="AJ217" s="22"/>
      <c r="AK217" s="22"/>
      <c r="AL217" s="22"/>
      <c r="AM217" s="22"/>
      <c r="AN217" s="22"/>
      <c r="AO217" s="22"/>
      <c r="AP217" s="22"/>
      <c r="AQ217" s="22"/>
      <c r="AR217" s="22"/>
      <c r="AS217" s="22"/>
    </row>
    <row r="218" spans="1:45" x14ac:dyDescent="0.3">
      <c r="A218" s="22"/>
      <c r="B218" s="71"/>
      <c r="C218" s="22"/>
      <c r="D218" s="23"/>
      <c r="E218" s="22"/>
      <c r="F218" s="22"/>
      <c r="G218" s="22"/>
      <c r="H218" s="23"/>
      <c r="I218" s="22"/>
      <c r="J218" s="22"/>
      <c r="K218" s="22"/>
      <c r="L218" s="23"/>
      <c r="M218" s="71"/>
      <c r="N218" s="71"/>
      <c r="O218" s="22"/>
      <c r="P218" s="22"/>
      <c r="Q218" s="22"/>
      <c r="R218" s="71"/>
      <c r="AC218" s="22"/>
      <c r="AD218" s="22"/>
      <c r="AE218" s="22"/>
      <c r="AF218" s="22"/>
      <c r="AG218" s="22"/>
      <c r="AH218" s="22"/>
      <c r="AI218" s="22"/>
      <c r="AJ218" s="22"/>
      <c r="AK218" s="22"/>
      <c r="AL218" s="22"/>
      <c r="AM218" s="22"/>
      <c r="AN218" s="22"/>
      <c r="AO218" s="22"/>
      <c r="AP218" s="22"/>
      <c r="AQ218" s="22"/>
      <c r="AR218" s="22"/>
      <c r="AS218" s="22"/>
    </row>
    <row r="219" spans="1:45" x14ac:dyDescent="0.3">
      <c r="A219" s="22"/>
      <c r="B219" s="71"/>
      <c r="C219" s="22"/>
      <c r="D219" s="23"/>
      <c r="E219" s="22"/>
      <c r="F219" s="22"/>
      <c r="G219" s="22"/>
      <c r="H219" s="23"/>
      <c r="I219" s="22"/>
      <c r="J219" s="22"/>
      <c r="K219" s="22"/>
      <c r="L219" s="23"/>
      <c r="M219" s="71"/>
      <c r="N219" s="71"/>
      <c r="O219" s="22"/>
      <c r="P219" s="22"/>
      <c r="Q219" s="22"/>
      <c r="R219" s="71"/>
      <c r="AC219" s="22"/>
      <c r="AD219" s="22"/>
      <c r="AE219" s="22"/>
      <c r="AF219" s="22"/>
      <c r="AG219" s="22"/>
      <c r="AH219" s="22"/>
      <c r="AI219" s="22"/>
      <c r="AJ219" s="22"/>
      <c r="AK219" s="22"/>
      <c r="AL219" s="22"/>
      <c r="AM219" s="22"/>
      <c r="AN219" s="22"/>
      <c r="AO219" s="22"/>
      <c r="AP219" s="22"/>
      <c r="AQ219" s="22"/>
      <c r="AR219" s="22"/>
      <c r="AS219" s="22"/>
    </row>
    <row r="220" spans="1:45" x14ac:dyDescent="0.3">
      <c r="A220" s="22"/>
      <c r="B220" s="71"/>
      <c r="C220" s="22"/>
      <c r="D220" s="23"/>
      <c r="E220" s="22"/>
      <c r="F220" s="22"/>
      <c r="G220" s="22"/>
      <c r="H220" s="23"/>
      <c r="I220" s="22"/>
      <c r="J220" s="22"/>
      <c r="K220" s="22"/>
      <c r="L220" s="23"/>
      <c r="M220" s="71"/>
      <c r="N220" s="71"/>
      <c r="O220" s="22"/>
      <c r="P220" s="22"/>
      <c r="Q220" s="22"/>
      <c r="R220" s="71"/>
      <c r="AC220" s="22"/>
      <c r="AD220" s="22"/>
      <c r="AE220" s="22"/>
      <c r="AF220" s="22"/>
      <c r="AG220" s="22"/>
      <c r="AH220" s="22"/>
      <c r="AI220" s="22"/>
      <c r="AJ220" s="22"/>
      <c r="AK220" s="22"/>
      <c r="AL220" s="22"/>
      <c r="AM220" s="22"/>
      <c r="AN220" s="22"/>
      <c r="AO220" s="22"/>
      <c r="AP220" s="22"/>
      <c r="AQ220" s="22"/>
      <c r="AR220" s="22"/>
      <c r="AS220" s="22"/>
    </row>
    <row r="221" spans="1:45" x14ac:dyDescent="0.3">
      <c r="A221" s="22"/>
      <c r="B221" s="71"/>
      <c r="C221" s="22"/>
      <c r="D221" s="23"/>
      <c r="E221" s="22"/>
      <c r="F221" s="22"/>
      <c r="G221" s="22"/>
      <c r="H221" s="23"/>
      <c r="I221" s="22"/>
      <c r="J221" s="22"/>
      <c r="K221" s="22"/>
      <c r="L221" s="23"/>
      <c r="M221" s="71"/>
      <c r="N221" s="71"/>
      <c r="O221" s="22"/>
      <c r="P221" s="22"/>
      <c r="Q221" s="22"/>
      <c r="R221" s="71"/>
      <c r="AC221" s="22"/>
      <c r="AD221" s="22"/>
      <c r="AE221" s="22"/>
      <c r="AF221" s="22"/>
      <c r="AG221" s="22"/>
      <c r="AH221" s="22"/>
      <c r="AI221" s="22"/>
      <c r="AJ221" s="22"/>
      <c r="AK221" s="22"/>
      <c r="AL221" s="22"/>
      <c r="AM221" s="22"/>
      <c r="AN221" s="22"/>
      <c r="AO221" s="22"/>
      <c r="AP221" s="22"/>
      <c r="AQ221" s="22"/>
      <c r="AR221" s="22"/>
      <c r="AS221" s="22"/>
    </row>
    <row r="222" spans="1:45" x14ac:dyDescent="0.3">
      <c r="A222" s="22"/>
      <c r="B222" s="71"/>
      <c r="C222" s="22"/>
      <c r="D222" s="23"/>
      <c r="E222" s="22"/>
      <c r="F222" s="22"/>
      <c r="G222" s="22"/>
      <c r="H222" s="23"/>
      <c r="I222" s="22"/>
      <c r="J222" s="22"/>
      <c r="K222" s="22"/>
      <c r="L222" s="23"/>
      <c r="M222" s="71"/>
      <c r="N222" s="71"/>
      <c r="O222" s="22"/>
      <c r="P222" s="22"/>
      <c r="Q222" s="22"/>
      <c r="R222" s="71"/>
      <c r="AC222" s="22"/>
      <c r="AD222" s="22"/>
      <c r="AE222" s="22"/>
      <c r="AF222" s="22"/>
      <c r="AG222" s="22"/>
      <c r="AH222" s="22"/>
      <c r="AI222" s="22"/>
      <c r="AJ222" s="22"/>
      <c r="AK222" s="22"/>
      <c r="AL222" s="22"/>
      <c r="AM222" s="22"/>
      <c r="AN222" s="22"/>
      <c r="AO222" s="22"/>
      <c r="AP222" s="22"/>
      <c r="AQ222" s="22"/>
      <c r="AR222" s="22"/>
      <c r="AS222" s="22"/>
    </row>
    <row r="223" spans="1:45" x14ac:dyDescent="0.3">
      <c r="A223" s="22"/>
      <c r="B223" s="71"/>
      <c r="C223" s="22"/>
      <c r="D223" s="23"/>
      <c r="E223" s="22"/>
      <c r="F223" s="22"/>
      <c r="G223" s="22"/>
      <c r="H223" s="23"/>
      <c r="I223" s="22"/>
      <c r="J223" s="22"/>
      <c r="K223" s="22"/>
      <c r="L223" s="23"/>
      <c r="M223" s="71"/>
      <c r="N223" s="71"/>
      <c r="O223" s="22"/>
      <c r="P223" s="22"/>
      <c r="Q223" s="22"/>
      <c r="R223" s="71"/>
      <c r="AC223" s="22"/>
      <c r="AD223" s="22"/>
      <c r="AE223" s="22"/>
      <c r="AF223" s="22"/>
      <c r="AG223" s="22"/>
      <c r="AH223" s="22"/>
      <c r="AI223" s="22"/>
      <c r="AJ223" s="22"/>
      <c r="AK223" s="22"/>
      <c r="AL223" s="22"/>
      <c r="AM223" s="22"/>
      <c r="AN223" s="22"/>
      <c r="AO223" s="22"/>
      <c r="AP223" s="22"/>
      <c r="AQ223" s="22"/>
      <c r="AR223" s="22"/>
      <c r="AS223" s="22"/>
    </row>
    <row r="224" spans="1:45" x14ac:dyDescent="0.3">
      <c r="A224" s="22"/>
      <c r="B224" s="71"/>
      <c r="C224" s="22"/>
      <c r="D224" s="23"/>
      <c r="E224" s="22"/>
      <c r="F224" s="22"/>
      <c r="G224" s="22"/>
      <c r="H224" s="23"/>
      <c r="I224" s="22"/>
      <c r="J224" s="22"/>
      <c r="K224" s="22"/>
      <c r="L224" s="23"/>
      <c r="M224" s="71"/>
      <c r="N224" s="71"/>
      <c r="O224" s="22"/>
      <c r="P224" s="22"/>
      <c r="Q224" s="22"/>
      <c r="R224" s="71"/>
      <c r="AC224" s="22"/>
      <c r="AD224" s="22"/>
      <c r="AE224" s="22"/>
      <c r="AF224" s="22"/>
      <c r="AG224" s="22"/>
      <c r="AH224" s="22"/>
      <c r="AI224" s="22"/>
      <c r="AJ224" s="22"/>
      <c r="AK224" s="22"/>
      <c r="AL224" s="22"/>
      <c r="AM224" s="22"/>
      <c r="AN224" s="22"/>
      <c r="AO224" s="22"/>
      <c r="AP224" s="22"/>
      <c r="AQ224" s="22"/>
      <c r="AR224" s="22"/>
      <c r="AS224" s="22"/>
    </row>
    <row r="225" spans="1:45" x14ac:dyDescent="0.3">
      <c r="A225" s="22"/>
      <c r="B225" s="71"/>
      <c r="C225" s="22"/>
      <c r="D225" s="23"/>
      <c r="E225" s="22"/>
      <c r="F225" s="22"/>
      <c r="G225" s="22"/>
      <c r="H225" s="23"/>
      <c r="I225" s="22"/>
      <c r="J225" s="22"/>
      <c r="K225" s="22"/>
      <c r="L225" s="23"/>
      <c r="M225" s="71"/>
      <c r="N225" s="71"/>
      <c r="O225" s="22"/>
      <c r="P225" s="22"/>
      <c r="Q225" s="22"/>
      <c r="R225" s="71"/>
      <c r="AC225" s="22"/>
      <c r="AD225" s="22"/>
      <c r="AE225" s="22"/>
      <c r="AF225" s="22"/>
      <c r="AG225" s="22"/>
      <c r="AH225" s="22"/>
      <c r="AI225" s="22"/>
      <c r="AJ225" s="22"/>
      <c r="AK225" s="22"/>
      <c r="AL225" s="22"/>
      <c r="AM225" s="22"/>
      <c r="AN225" s="22"/>
      <c r="AO225" s="22"/>
      <c r="AP225" s="22"/>
      <c r="AQ225" s="22"/>
      <c r="AR225" s="22"/>
      <c r="AS225" s="22"/>
    </row>
    <row r="226" spans="1:45" x14ac:dyDescent="0.3">
      <c r="A226" s="22"/>
      <c r="B226" s="71"/>
      <c r="C226" s="22"/>
      <c r="D226" s="23"/>
      <c r="E226" s="22"/>
      <c r="F226" s="22"/>
      <c r="G226" s="22"/>
      <c r="H226" s="23"/>
      <c r="I226" s="22"/>
      <c r="J226" s="22"/>
      <c r="K226" s="22"/>
      <c r="L226" s="23"/>
      <c r="M226" s="71"/>
      <c r="N226" s="71"/>
      <c r="O226" s="22"/>
      <c r="P226" s="22"/>
      <c r="Q226" s="22"/>
      <c r="R226" s="71"/>
      <c r="AC226" s="22"/>
      <c r="AD226" s="22"/>
      <c r="AE226" s="22"/>
      <c r="AF226" s="22"/>
      <c r="AG226" s="22"/>
      <c r="AH226" s="22"/>
      <c r="AI226" s="22"/>
      <c r="AJ226" s="22"/>
      <c r="AK226" s="22"/>
      <c r="AL226" s="22"/>
      <c r="AM226" s="22"/>
      <c r="AN226" s="22"/>
      <c r="AO226" s="22"/>
      <c r="AP226" s="22"/>
      <c r="AQ226" s="22"/>
      <c r="AR226" s="22"/>
      <c r="AS226" s="22"/>
    </row>
    <row r="227" spans="1:45" x14ac:dyDescent="0.3">
      <c r="A227" s="22"/>
      <c r="B227" s="71"/>
      <c r="C227" s="22"/>
      <c r="D227" s="23"/>
      <c r="E227" s="22"/>
      <c r="F227" s="22"/>
      <c r="G227" s="22"/>
      <c r="H227" s="23"/>
      <c r="I227" s="22"/>
      <c r="J227" s="22"/>
      <c r="K227" s="22"/>
      <c r="L227" s="23"/>
      <c r="M227" s="71"/>
      <c r="N227" s="71"/>
      <c r="O227" s="22"/>
      <c r="P227" s="22"/>
      <c r="Q227" s="22"/>
      <c r="R227" s="71"/>
      <c r="AC227" s="22"/>
      <c r="AD227" s="22"/>
      <c r="AE227" s="22"/>
      <c r="AF227" s="22"/>
      <c r="AG227" s="22"/>
      <c r="AH227" s="22"/>
      <c r="AI227" s="22"/>
      <c r="AJ227" s="22"/>
      <c r="AK227" s="22"/>
      <c r="AL227" s="22"/>
      <c r="AM227" s="22"/>
      <c r="AN227" s="22"/>
      <c r="AO227" s="22"/>
      <c r="AP227" s="22"/>
      <c r="AQ227" s="22"/>
      <c r="AR227" s="22"/>
      <c r="AS227" s="22"/>
    </row>
    <row r="228" spans="1:45" x14ac:dyDescent="0.3">
      <c r="A228" s="22"/>
      <c r="B228" s="71"/>
      <c r="C228" s="22"/>
      <c r="D228" s="23"/>
      <c r="E228" s="22"/>
      <c r="F228" s="22"/>
      <c r="G228" s="22"/>
      <c r="H228" s="23"/>
      <c r="I228" s="22"/>
      <c r="J228" s="22"/>
      <c r="K228" s="22"/>
      <c r="L228" s="23"/>
      <c r="M228" s="71"/>
      <c r="N228" s="71"/>
      <c r="O228" s="22"/>
      <c r="P228" s="22"/>
      <c r="Q228" s="22"/>
      <c r="R228" s="71"/>
      <c r="AC228" s="22"/>
      <c r="AD228" s="22"/>
      <c r="AE228" s="22"/>
      <c r="AF228" s="22"/>
      <c r="AG228" s="22"/>
      <c r="AH228" s="22"/>
      <c r="AI228" s="22"/>
      <c r="AJ228" s="22"/>
      <c r="AK228" s="22"/>
      <c r="AL228" s="22"/>
      <c r="AM228" s="22"/>
      <c r="AN228" s="22"/>
      <c r="AO228" s="22"/>
      <c r="AP228" s="22"/>
      <c r="AQ228" s="22"/>
      <c r="AR228" s="22"/>
      <c r="AS228" s="22"/>
    </row>
    <row r="229" spans="1:45" x14ac:dyDescent="0.3">
      <c r="A229" s="22"/>
      <c r="B229" s="71"/>
      <c r="C229" s="22"/>
      <c r="D229" s="23"/>
      <c r="E229" s="22"/>
      <c r="F229" s="22"/>
      <c r="G229" s="22"/>
      <c r="H229" s="23"/>
      <c r="I229" s="22"/>
      <c r="J229" s="22"/>
      <c r="K229" s="22"/>
      <c r="L229" s="23"/>
      <c r="M229" s="71"/>
      <c r="N229" s="71"/>
      <c r="O229" s="22"/>
      <c r="P229" s="22"/>
      <c r="Q229" s="22"/>
      <c r="R229" s="71"/>
      <c r="AC229" s="22"/>
      <c r="AD229" s="22"/>
      <c r="AE229" s="22"/>
      <c r="AF229" s="22"/>
      <c r="AG229" s="22"/>
      <c r="AH229" s="22"/>
      <c r="AI229" s="22"/>
      <c r="AJ229" s="22"/>
      <c r="AK229" s="22"/>
      <c r="AL229" s="22"/>
      <c r="AM229" s="22"/>
      <c r="AN229" s="22"/>
      <c r="AO229" s="22"/>
      <c r="AP229" s="22"/>
      <c r="AQ229" s="22"/>
      <c r="AR229" s="22"/>
      <c r="AS229" s="22"/>
    </row>
    <row r="230" spans="1:45" x14ac:dyDescent="0.3">
      <c r="A230" s="22"/>
      <c r="B230" s="71"/>
      <c r="C230" s="22"/>
      <c r="D230" s="23"/>
      <c r="E230" s="22"/>
      <c r="F230" s="22"/>
      <c r="G230" s="22"/>
      <c r="H230" s="23"/>
      <c r="I230" s="22"/>
      <c r="J230" s="22"/>
      <c r="K230" s="22"/>
      <c r="L230" s="23"/>
      <c r="M230" s="71"/>
      <c r="N230" s="71"/>
      <c r="O230" s="22"/>
      <c r="P230" s="22"/>
      <c r="Q230" s="22"/>
      <c r="R230" s="71"/>
      <c r="AC230" s="22"/>
      <c r="AD230" s="22"/>
      <c r="AE230" s="22"/>
      <c r="AF230" s="22"/>
      <c r="AG230" s="22"/>
      <c r="AH230" s="22"/>
      <c r="AI230" s="22"/>
      <c r="AJ230" s="22"/>
      <c r="AK230" s="22"/>
      <c r="AL230" s="22"/>
      <c r="AM230" s="22"/>
      <c r="AN230" s="22"/>
      <c r="AO230" s="22"/>
      <c r="AP230" s="22"/>
      <c r="AQ230" s="22"/>
      <c r="AR230" s="22"/>
      <c r="AS230" s="22"/>
    </row>
    <row r="231" spans="1:45" x14ac:dyDescent="0.3">
      <c r="A231" s="22"/>
      <c r="B231" s="71"/>
      <c r="C231" s="22"/>
      <c r="D231" s="23"/>
      <c r="E231" s="22"/>
      <c r="F231" s="22"/>
      <c r="G231" s="22"/>
      <c r="H231" s="23"/>
      <c r="I231" s="22"/>
      <c r="J231" s="22"/>
      <c r="K231" s="22"/>
      <c r="L231" s="23"/>
      <c r="M231" s="71"/>
      <c r="N231" s="71"/>
      <c r="O231" s="22"/>
      <c r="P231" s="22"/>
      <c r="Q231" s="22"/>
      <c r="R231" s="71"/>
      <c r="AC231" s="22"/>
      <c r="AD231" s="22"/>
      <c r="AE231" s="22"/>
      <c r="AF231" s="22"/>
      <c r="AG231" s="22"/>
      <c r="AH231" s="22"/>
      <c r="AI231" s="22"/>
      <c r="AJ231" s="22"/>
      <c r="AK231" s="22"/>
      <c r="AL231" s="22"/>
      <c r="AM231" s="22"/>
      <c r="AN231" s="22"/>
      <c r="AO231" s="22"/>
      <c r="AP231" s="22"/>
      <c r="AQ231" s="22"/>
      <c r="AR231" s="22"/>
      <c r="AS231" s="22"/>
    </row>
    <row r="232" spans="1:45" x14ac:dyDescent="0.3">
      <c r="A232" s="22"/>
      <c r="B232" s="71"/>
      <c r="C232" s="22"/>
      <c r="D232" s="23"/>
      <c r="E232" s="22"/>
      <c r="F232" s="22"/>
      <c r="G232" s="22"/>
      <c r="H232" s="23"/>
      <c r="I232" s="22"/>
      <c r="J232" s="22"/>
      <c r="K232" s="22"/>
      <c r="L232" s="23"/>
      <c r="M232" s="71"/>
      <c r="N232" s="71"/>
      <c r="O232" s="22"/>
      <c r="P232" s="22"/>
      <c r="Q232" s="22"/>
      <c r="R232" s="71"/>
      <c r="AC232" s="22"/>
      <c r="AD232" s="22"/>
      <c r="AE232" s="22"/>
      <c r="AF232" s="22"/>
      <c r="AG232" s="22"/>
      <c r="AH232" s="22"/>
      <c r="AI232" s="22"/>
      <c r="AJ232" s="22"/>
      <c r="AK232" s="22"/>
      <c r="AL232" s="22"/>
      <c r="AM232" s="22"/>
      <c r="AN232" s="22"/>
      <c r="AO232" s="22"/>
      <c r="AP232" s="22"/>
      <c r="AQ232" s="22"/>
      <c r="AR232" s="22"/>
      <c r="AS232" s="22"/>
    </row>
    <row r="233" spans="1:45" x14ac:dyDescent="0.3">
      <c r="A233" s="22"/>
      <c r="B233" s="71"/>
      <c r="C233" s="22"/>
      <c r="D233" s="23"/>
      <c r="E233" s="22"/>
      <c r="F233" s="22"/>
      <c r="G233" s="22"/>
      <c r="H233" s="23"/>
      <c r="I233" s="22"/>
      <c r="J233" s="22"/>
      <c r="K233" s="22"/>
      <c r="L233" s="23"/>
      <c r="M233" s="71"/>
      <c r="N233" s="71"/>
      <c r="O233" s="22"/>
      <c r="P233" s="22"/>
      <c r="Q233" s="22"/>
      <c r="R233" s="71"/>
      <c r="AC233" s="22"/>
      <c r="AD233" s="22"/>
      <c r="AE233" s="22"/>
      <c r="AF233" s="22"/>
      <c r="AG233" s="22"/>
      <c r="AH233" s="22"/>
      <c r="AI233" s="22"/>
      <c r="AJ233" s="22"/>
      <c r="AK233" s="22"/>
      <c r="AL233" s="22"/>
      <c r="AM233" s="22"/>
      <c r="AN233" s="22"/>
      <c r="AO233" s="22"/>
      <c r="AP233" s="22"/>
      <c r="AQ233" s="22"/>
      <c r="AR233" s="22"/>
      <c r="AS233" s="22"/>
    </row>
    <row r="234" spans="1:45" x14ac:dyDescent="0.3">
      <c r="A234" s="22"/>
      <c r="B234" s="71"/>
      <c r="C234" s="22"/>
      <c r="D234" s="23"/>
      <c r="E234" s="22"/>
      <c r="F234" s="22"/>
      <c r="G234" s="22"/>
      <c r="H234" s="23"/>
      <c r="I234" s="22"/>
      <c r="J234" s="22"/>
      <c r="K234" s="22"/>
      <c r="L234" s="23"/>
      <c r="M234" s="71"/>
      <c r="N234" s="71"/>
      <c r="O234" s="22"/>
      <c r="P234" s="22"/>
      <c r="Q234" s="22"/>
      <c r="R234" s="71"/>
      <c r="AC234" s="22"/>
      <c r="AD234" s="22"/>
      <c r="AE234" s="22"/>
      <c r="AF234" s="22"/>
      <c r="AG234" s="22"/>
      <c r="AH234" s="22"/>
      <c r="AI234" s="22"/>
      <c r="AJ234" s="22"/>
      <c r="AK234" s="22"/>
      <c r="AL234" s="22"/>
      <c r="AM234" s="22"/>
      <c r="AN234" s="22"/>
      <c r="AO234" s="22"/>
      <c r="AP234" s="22"/>
      <c r="AQ234" s="22"/>
      <c r="AR234" s="22"/>
      <c r="AS234" s="22"/>
    </row>
    <row r="235" spans="1:45" x14ac:dyDescent="0.3">
      <c r="A235" s="22"/>
      <c r="B235" s="71"/>
      <c r="C235" s="22"/>
      <c r="D235" s="23"/>
      <c r="E235" s="22"/>
      <c r="F235" s="22"/>
      <c r="G235" s="22"/>
      <c r="H235" s="23"/>
      <c r="I235" s="22"/>
      <c r="J235" s="22"/>
      <c r="K235" s="22"/>
      <c r="L235" s="23"/>
      <c r="M235" s="71"/>
      <c r="N235" s="71"/>
      <c r="O235" s="22"/>
      <c r="P235" s="22"/>
      <c r="Q235" s="22"/>
      <c r="R235" s="71"/>
      <c r="AC235" s="22"/>
      <c r="AD235" s="22"/>
      <c r="AE235" s="22"/>
      <c r="AF235" s="22"/>
      <c r="AG235" s="22"/>
      <c r="AH235" s="22"/>
      <c r="AI235" s="22"/>
      <c r="AJ235" s="22"/>
      <c r="AK235" s="22"/>
      <c r="AL235" s="22"/>
      <c r="AM235" s="22"/>
      <c r="AN235" s="22"/>
      <c r="AO235" s="22"/>
      <c r="AP235" s="22"/>
      <c r="AQ235" s="22"/>
      <c r="AR235" s="22"/>
      <c r="AS235" s="22"/>
    </row>
    <row r="236" spans="1:45" x14ac:dyDescent="0.3">
      <c r="A236" s="22"/>
      <c r="B236" s="71"/>
      <c r="C236" s="22"/>
      <c r="D236" s="23"/>
      <c r="E236" s="22"/>
      <c r="F236" s="22"/>
      <c r="G236" s="22"/>
      <c r="H236" s="23"/>
      <c r="I236" s="22"/>
      <c r="J236" s="22"/>
      <c r="K236" s="22"/>
      <c r="L236" s="23"/>
      <c r="M236" s="71"/>
      <c r="N236" s="71"/>
      <c r="O236" s="22"/>
      <c r="P236" s="22"/>
      <c r="Q236" s="22"/>
      <c r="R236" s="71"/>
      <c r="AC236" s="22"/>
      <c r="AD236" s="22"/>
      <c r="AE236" s="22"/>
      <c r="AF236" s="22"/>
      <c r="AG236" s="22"/>
      <c r="AH236" s="22"/>
      <c r="AI236" s="22"/>
      <c r="AJ236" s="22"/>
      <c r="AK236" s="22"/>
      <c r="AL236" s="22"/>
      <c r="AM236" s="22"/>
      <c r="AN236" s="22"/>
      <c r="AO236" s="22"/>
      <c r="AP236" s="22"/>
      <c r="AQ236" s="22"/>
      <c r="AR236" s="22"/>
      <c r="AS236" s="22"/>
    </row>
    <row r="237" spans="1:45" x14ac:dyDescent="0.3">
      <c r="A237" s="22"/>
      <c r="B237" s="71"/>
      <c r="C237" s="22"/>
      <c r="D237" s="23"/>
      <c r="E237" s="22"/>
      <c r="F237" s="22"/>
      <c r="G237" s="22"/>
      <c r="H237" s="23"/>
      <c r="I237" s="22"/>
      <c r="J237" s="22"/>
      <c r="K237" s="22"/>
      <c r="L237" s="23"/>
      <c r="M237" s="71"/>
      <c r="N237" s="71"/>
      <c r="O237" s="22"/>
      <c r="P237" s="22"/>
      <c r="Q237" s="22"/>
      <c r="R237" s="71"/>
      <c r="AC237" s="22"/>
      <c r="AD237" s="22"/>
      <c r="AE237" s="22"/>
      <c r="AF237" s="22"/>
      <c r="AG237" s="22"/>
      <c r="AH237" s="22"/>
      <c r="AI237" s="22"/>
      <c r="AJ237" s="22"/>
      <c r="AK237" s="22"/>
      <c r="AL237" s="22"/>
      <c r="AM237" s="22"/>
      <c r="AN237" s="22"/>
      <c r="AO237" s="22"/>
      <c r="AP237" s="22"/>
      <c r="AQ237" s="22"/>
      <c r="AR237" s="22"/>
      <c r="AS237" s="22"/>
    </row>
    <row r="238" spans="1:45" x14ac:dyDescent="0.3">
      <c r="A238" s="22"/>
      <c r="B238" s="71"/>
      <c r="C238" s="22"/>
      <c r="D238" s="23"/>
      <c r="E238" s="22"/>
      <c r="F238" s="22"/>
      <c r="G238" s="22"/>
      <c r="H238" s="23"/>
      <c r="I238" s="22"/>
      <c r="J238" s="22"/>
      <c r="K238" s="22"/>
      <c r="L238" s="23"/>
      <c r="M238" s="71"/>
      <c r="N238" s="71"/>
      <c r="O238" s="22"/>
      <c r="P238" s="22"/>
      <c r="Q238" s="22"/>
      <c r="R238" s="71"/>
      <c r="AC238" s="22"/>
      <c r="AD238" s="22"/>
      <c r="AE238" s="22"/>
      <c r="AF238" s="22"/>
      <c r="AG238" s="22"/>
      <c r="AH238" s="22"/>
      <c r="AI238" s="22"/>
      <c r="AJ238" s="22"/>
      <c r="AK238" s="22"/>
      <c r="AL238" s="22"/>
      <c r="AM238" s="22"/>
      <c r="AN238" s="22"/>
      <c r="AO238" s="22"/>
      <c r="AP238" s="22"/>
      <c r="AQ238" s="22"/>
      <c r="AR238" s="22"/>
      <c r="AS238" s="22"/>
    </row>
    <row r="239" spans="1:45" x14ac:dyDescent="0.3">
      <c r="A239" s="22"/>
      <c r="B239" s="71"/>
      <c r="C239" s="22"/>
      <c r="D239" s="23"/>
      <c r="E239" s="22"/>
      <c r="F239" s="22"/>
      <c r="G239" s="22"/>
      <c r="H239" s="23"/>
      <c r="I239" s="22"/>
      <c r="J239" s="22"/>
      <c r="K239" s="22"/>
      <c r="L239" s="23"/>
      <c r="M239" s="71"/>
      <c r="N239" s="71"/>
      <c r="O239" s="22"/>
      <c r="P239" s="22"/>
      <c r="Q239" s="22"/>
      <c r="R239" s="71"/>
      <c r="AC239" s="22"/>
      <c r="AD239" s="22"/>
      <c r="AE239" s="22"/>
      <c r="AF239" s="22"/>
      <c r="AG239" s="22"/>
      <c r="AH239" s="22"/>
      <c r="AI239" s="22"/>
      <c r="AJ239" s="22"/>
      <c r="AK239" s="22"/>
      <c r="AL239" s="22"/>
      <c r="AM239" s="22"/>
      <c r="AN239" s="22"/>
      <c r="AO239" s="22"/>
      <c r="AP239" s="22"/>
      <c r="AQ239" s="22"/>
      <c r="AR239" s="22"/>
      <c r="AS239" s="22"/>
    </row>
    <row r="240" spans="1:45" x14ac:dyDescent="0.3">
      <c r="A240" s="22"/>
      <c r="B240" s="71"/>
      <c r="C240" s="22"/>
      <c r="D240" s="23"/>
      <c r="E240" s="22"/>
      <c r="F240" s="22"/>
      <c r="G240" s="22"/>
      <c r="H240" s="23"/>
      <c r="I240" s="22"/>
      <c r="J240" s="22"/>
      <c r="K240" s="22"/>
      <c r="L240" s="23"/>
      <c r="M240" s="71"/>
      <c r="N240" s="71"/>
      <c r="O240" s="22"/>
      <c r="P240" s="22"/>
      <c r="Q240" s="22"/>
      <c r="R240" s="71"/>
      <c r="AC240" s="22"/>
      <c r="AD240" s="22"/>
      <c r="AE240" s="22"/>
      <c r="AF240" s="22"/>
      <c r="AG240" s="22"/>
      <c r="AH240" s="22"/>
      <c r="AI240" s="22"/>
      <c r="AJ240" s="22"/>
      <c r="AK240" s="22"/>
      <c r="AL240" s="22"/>
      <c r="AM240" s="22"/>
      <c r="AN240" s="22"/>
      <c r="AO240" s="22"/>
      <c r="AP240" s="22"/>
      <c r="AQ240" s="22"/>
      <c r="AR240" s="22"/>
      <c r="AS240" s="22"/>
    </row>
    <row r="241" spans="1:45" x14ac:dyDescent="0.3">
      <c r="A241" s="22"/>
      <c r="B241" s="71"/>
      <c r="C241" s="22"/>
      <c r="D241" s="23"/>
      <c r="E241" s="22"/>
      <c r="F241" s="22"/>
      <c r="G241" s="22"/>
      <c r="H241" s="23"/>
      <c r="I241" s="22"/>
      <c r="J241" s="22"/>
      <c r="K241" s="22"/>
      <c r="L241" s="23"/>
      <c r="M241" s="71"/>
      <c r="N241" s="71"/>
      <c r="O241" s="22"/>
      <c r="P241" s="22"/>
      <c r="Q241" s="22"/>
      <c r="R241" s="71"/>
      <c r="AC241" s="22"/>
      <c r="AD241" s="22"/>
      <c r="AE241" s="22"/>
      <c r="AF241" s="22"/>
      <c r="AG241" s="22"/>
      <c r="AH241" s="22"/>
      <c r="AI241" s="22"/>
      <c r="AJ241" s="22"/>
      <c r="AK241" s="22"/>
      <c r="AL241" s="22"/>
      <c r="AM241" s="22"/>
      <c r="AN241" s="22"/>
      <c r="AO241" s="22"/>
      <c r="AP241" s="22"/>
      <c r="AQ241" s="22"/>
      <c r="AR241" s="22"/>
      <c r="AS241" s="22"/>
    </row>
    <row r="242" spans="1:45" x14ac:dyDescent="0.3">
      <c r="A242" s="22"/>
      <c r="B242" s="71"/>
      <c r="C242" s="22"/>
      <c r="D242" s="23"/>
      <c r="E242" s="22"/>
      <c r="F242" s="22"/>
      <c r="G242" s="22"/>
      <c r="H242" s="23"/>
      <c r="I242" s="22"/>
      <c r="J242" s="22"/>
      <c r="K242" s="22"/>
      <c r="L242" s="23"/>
      <c r="M242" s="71"/>
      <c r="N242" s="71"/>
      <c r="O242" s="22"/>
      <c r="P242" s="22"/>
      <c r="Q242" s="22"/>
      <c r="R242" s="71"/>
      <c r="AC242" s="22"/>
      <c r="AD242" s="22"/>
      <c r="AE242" s="22"/>
      <c r="AF242" s="22"/>
      <c r="AG242" s="22"/>
      <c r="AH242" s="22"/>
      <c r="AI242" s="22"/>
      <c r="AJ242" s="22"/>
      <c r="AK242" s="22"/>
      <c r="AL242" s="22"/>
      <c r="AM242" s="22"/>
      <c r="AN242" s="22"/>
      <c r="AO242" s="22"/>
      <c r="AP242" s="22"/>
      <c r="AQ242" s="22"/>
      <c r="AR242" s="22"/>
      <c r="AS242" s="22"/>
    </row>
    <row r="243" spans="1:45" x14ac:dyDescent="0.3">
      <c r="A243" s="22"/>
      <c r="B243" s="71"/>
      <c r="C243" s="22"/>
      <c r="D243" s="23"/>
      <c r="E243" s="22"/>
      <c r="F243" s="22"/>
      <c r="G243" s="22"/>
      <c r="H243" s="23"/>
      <c r="I243" s="22"/>
      <c r="J243" s="22"/>
      <c r="K243" s="22"/>
      <c r="L243" s="23"/>
      <c r="M243" s="71"/>
      <c r="N243" s="71"/>
      <c r="O243" s="22"/>
      <c r="P243" s="22"/>
      <c r="Q243" s="22"/>
      <c r="R243" s="71"/>
      <c r="AC243" s="22"/>
      <c r="AD243" s="22"/>
      <c r="AE243" s="22"/>
      <c r="AF243" s="22"/>
      <c r="AG243" s="22"/>
      <c r="AH243" s="22"/>
      <c r="AI243" s="22"/>
      <c r="AJ243" s="22"/>
      <c r="AK243" s="22"/>
      <c r="AL243" s="22"/>
      <c r="AM243" s="22"/>
      <c r="AN243" s="22"/>
      <c r="AO243" s="22"/>
      <c r="AP243" s="22"/>
      <c r="AQ243" s="22"/>
      <c r="AR243" s="22"/>
      <c r="AS243" s="22"/>
    </row>
    <row r="244" spans="1:45" x14ac:dyDescent="0.3">
      <c r="A244" s="22"/>
      <c r="B244" s="71"/>
      <c r="C244" s="22"/>
      <c r="D244" s="23"/>
      <c r="E244" s="22"/>
      <c r="F244" s="22"/>
      <c r="G244" s="22"/>
      <c r="H244" s="23"/>
      <c r="I244" s="22"/>
      <c r="J244" s="22"/>
      <c r="K244" s="22"/>
      <c r="L244" s="23"/>
      <c r="M244" s="71"/>
      <c r="N244" s="71"/>
      <c r="O244" s="22"/>
      <c r="P244" s="22"/>
      <c r="Q244" s="22"/>
      <c r="R244" s="71"/>
      <c r="AC244" s="22"/>
      <c r="AD244" s="22"/>
      <c r="AE244" s="22"/>
      <c r="AF244" s="22"/>
      <c r="AG244" s="22"/>
      <c r="AH244" s="22"/>
      <c r="AI244" s="22"/>
      <c r="AJ244" s="22"/>
      <c r="AK244" s="22"/>
      <c r="AL244" s="22"/>
      <c r="AM244" s="22"/>
      <c r="AN244" s="22"/>
      <c r="AO244" s="22"/>
      <c r="AP244" s="22"/>
      <c r="AQ244" s="22"/>
      <c r="AR244" s="22"/>
      <c r="AS244" s="22"/>
    </row>
    <row r="245" spans="1:45" x14ac:dyDescent="0.3">
      <c r="A245" s="22"/>
      <c r="B245" s="71"/>
      <c r="C245" s="22"/>
      <c r="D245" s="23"/>
      <c r="E245" s="22"/>
      <c r="F245" s="22"/>
      <c r="G245" s="22"/>
      <c r="H245" s="23"/>
      <c r="I245" s="22"/>
      <c r="J245" s="22"/>
      <c r="K245" s="22"/>
      <c r="L245" s="23"/>
      <c r="M245" s="71"/>
      <c r="N245" s="71"/>
      <c r="O245" s="22"/>
      <c r="P245" s="22"/>
      <c r="Q245" s="22"/>
      <c r="R245" s="71"/>
      <c r="AC245" s="22"/>
      <c r="AD245" s="22"/>
      <c r="AE245" s="22"/>
      <c r="AF245" s="22"/>
      <c r="AG245" s="22"/>
      <c r="AH245" s="22"/>
      <c r="AI245" s="22"/>
      <c r="AJ245" s="22"/>
      <c r="AK245" s="22"/>
      <c r="AL245" s="22"/>
      <c r="AM245" s="22"/>
      <c r="AN245" s="22"/>
      <c r="AO245" s="22"/>
      <c r="AP245" s="22"/>
      <c r="AQ245" s="22"/>
      <c r="AR245" s="22"/>
      <c r="AS245" s="22"/>
    </row>
    <row r="246" spans="1:45" x14ac:dyDescent="0.3">
      <c r="A246" s="22"/>
      <c r="B246" s="71"/>
      <c r="C246" s="22"/>
      <c r="D246" s="23"/>
      <c r="E246" s="22"/>
      <c r="F246" s="22"/>
      <c r="G246" s="22"/>
      <c r="H246" s="23"/>
      <c r="I246" s="22"/>
      <c r="J246" s="22"/>
      <c r="K246" s="22"/>
      <c r="L246" s="23"/>
      <c r="M246" s="71"/>
      <c r="N246" s="71"/>
      <c r="O246" s="22"/>
      <c r="P246" s="22"/>
      <c r="Q246" s="22"/>
      <c r="R246" s="71"/>
      <c r="AC246" s="22"/>
      <c r="AD246" s="22"/>
      <c r="AE246" s="22"/>
      <c r="AF246" s="22"/>
      <c r="AG246" s="22"/>
      <c r="AH246" s="22"/>
      <c r="AI246" s="22"/>
      <c r="AJ246" s="22"/>
      <c r="AK246" s="22"/>
      <c r="AL246" s="22"/>
      <c r="AM246" s="22"/>
      <c r="AN246" s="22"/>
      <c r="AO246" s="22"/>
      <c r="AP246" s="22"/>
      <c r="AQ246" s="22"/>
      <c r="AR246" s="22"/>
      <c r="AS246" s="22"/>
    </row>
    <row r="247" spans="1:45" x14ac:dyDescent="0.3">
      <c r="A247" s="22"/>
      <c r="B247" s="71"/>
      <c r="C247" s="22"/>
      <c r="D247" s="23"/>
      <c r="E247" s="22"/>
      <c r="F247" s="22"/>
      <c r="G247" s="22"/>
      <c r="H247" s="23"/>
      <c r="I247" s="22"/>
      <c r="J247" s="22"/>
      <c r="K247" s="22"/>
      <c r="L247" s="23"/>
      <c r="M247" s="71"/>
      <c r="N247" s="71"/>
      <c r="O247" s="22"/>
      <c r="P247" s="22"/>
      <c r="Q247" s="22"/>
      <c r="R247" s="71"/>
      <c r="AC247" s="22"/>
      <c r="AD247" s="22"/>
      <c r="AE247" s="22"/>
      <c r="AF247" s="22"/>
      <c r="AG247" s="22"/>
      <c r="AH247" s="22"/>
      <c r="AI247" s="22"/>
      <c r="AJ247" s="22"/>
      <c r="AK247" s="22"/>
      <c r="AL247" s="22"/>
      <c r="AM247" s="22"/>
      <c r="AN247" s="22"/>
      <c r="AO247" s="22"/>
      <c r="AP247" s="22"/>
      <c r="AQ247" s="22"/>
      <c r="AR247" s="22"/>
      <c r="AS247" s="22"/>
    </row>
    <row r="248" spans="1:45" x14ac:dyDescent="0.3">
      <c r="A248" s="22"/>
      <c r="B248" s="71"/>
      <c r="C248" s="22"/>
      <c r="D248" s="23"/>
      <c r="E248" s="22"/>
      <c r="F248" s="22"/>
      <c r="G248" s="22"/>
      <c r="H248" s="23"/>
      <c r="I248" s="22"/>
      <c r="J248" s="22"/>
      <c r="K248" s="22"/>
      <c r="L248" s="23"/>
      <c r="M248" s="71"/>
      <c r="N248" s="71"/>
      <c r="O248" s="22"/>
      <c r="P248" s="22"/>
      <c r="Q248" s="22"/>
      <c r="R248" s="71"/>
      <c r="AC248" s="22"/>
      <c r="AD248" s="22"/>
      <c r="AE248" s="22"/>
      <c r="AF248" s="22"/>
      <c r="AG248" s="22"/>
      <c r="AH248" s="22"/>
      <c r="AI248" s="22"/>
      <c r="AJ248" s="22"/>
      <c r="AK248" s="22"/>
      <c r="AL248" s="22"/>
      <c r="AM248" s="22"/>
      <c r="AN248" s="22"/>
      <c r="AO248" s="22"/>
      <c r="AP248" s="22"/>
      <c r="AQ248" s="22"/>
      <c r="AR248" s="22"/>
      <c r="AS248" s="22"/>
    </row>
    <row r="249" spans="1:45" x14ac:dyDescent="0.3">
      <c r="A249" s="22"/>
      <c r="B249" s="71"/>
      <c r="C249" s="22"/>
      <c r="D249" s="23"/>
      <c r="E249" s="22"/>
      <c r="F249" s="22"/>
      <c r="G249" s="22"/>
      <c r="H249" s="23"/>
      <c r="I249" s="22"/>
      <c r="J249" s="22"/>
      <c r="K249" s="22"/>
      <c r="L249" s="23"/>
      <c r="M249" s="71"/>
      <c r="N249" s="71"/>
      <c r="O249" s="22"/>
      <c r="P249" s="22"/>
      <c r="Q249" s="22"/>
      <c r="R249" s="71"/>
      <c r="AC249" s="22"/>
      <c r="AD249" s="22"/>
      <c r="AE249" s="22"/>
      <c r="AF249" s="22"/>
      <c r="AG249" s="22"/>
      <c r="AH249" s="22"/>
      <c r="AI249" s="22"/>
      <c r="AJ249" s="22"/>
      <c r="AK249" s="22"/>
      <c r="AL249" s="22"/>
      <c r="AM249" s="22"/>
      <c r="AN249" s="22"/>
      <c r="AO249" s="22"/>
      <c r="AP249" s="22"/>
      <c r="AQ249" s="22"/>
      <c r="AR249" s="22"/>
      <c r="AS249" s="22"/>
    </row>
    <row r="250" spans="1:45" x14ac:dyDescent="0.3">
      <c r="A250" s="22"/>
      <c r="B250" s="71"/>
      <c r="C250" s="22"/>
      <c r="D250" s="23"/>
      <c r="E250" s="22"/>
      <c r="F250" s="22"/>
      <c r="G250" s="22"/>
      <c r="H250" s="23"/>
      <c r="I250" s="22"/>
      <c r="J250" s="22"/>
      <c r="K250" s="22"/>
      <c r="L250" s="23"/>
      <c r="M250" s="71"/>
      <c r="N250" s="71"/>
      <c r="O250" s="22"/>
      <c r="P250" s="22"/>
      <c r="Q250" s="22"/>
      <c r="R250" s="71"/>
      <c r="AC250" s="22"/>
      <c r="AD250" s="22"/>
      <c r="AE250" s="22"/>
      <c r="AF250" s="22"/>
      <c r="AG250" s="22"/>
      <c r="AH250" s="22"/>
      <c r="AI250" s="22"/>
      <c r="AJ250" s="22"/>
      <c r="AK250" s="22"/>
      <c r="AL250" s="22"/>
      <c r="AM250" s="22"/>
      <c r="AN250" s="22"/>
      <c r="AO250" s="22"/>
      <c r="AP250" s="22"/>
      <c r="AQ250" s="22"/>
      <c r="AR250" s="22"/>
      <c r="AS250" s="22"/>
    </row>
    <row r="251" spans="1:45" x14ac:dyDescent="0.3">
      <c r="A251" s="22"/>
      <c r="B251" s="71"/>
      <c r="C251" s="22"/>
      <c r="D251" s="23"/>
      <c r="E251" s="22"/>
      <c r="F251" s="22"/>
      <c r="G251" s="22"/>
      <c r="H251" s="23"/>
      <c r="I251" s="22"/>
      <c r="J251" s="22"/>
      <c r="K251" s="22"/>
      <c r="L251" s="23"/>
      <c r="M251" s="71"/>
      <c r="N251" s="71"/>
      <c r="O251" s="22"/>
      <c r="P251" s="22"/>
      <c r="Q251" s="22"/>
      <c r="R251" s="71"/>
      <c r="AC251" s="22"/>
      <c r="AD251" s="22"/>
      <c r="AE251" s="22"/>
      <c r="AF251" s="22"/>
      <c r="AG251" s="22"/>
      <c r="AH251" s="22"/>
      <c r="AI251" s="22"/>
      <c r="AJ251" s="22"/>
      <c r="AK251" s="22"/>
      <c r="AL251" s="22"/>
      <c r="AM251" s="22"/>
      <c r="AN251" s="22"/>
      <c r="AO251" s="22"/>
      <c r="AP251" s="22"/>
      <c r="AQ251" s="22"/>
      <c r="AR251" s="22"/>
      <c r="AS251" s="22"/>
    </row>
    <row r="252" spans="1:45" x14ac:dyDescent="0.3">
      <c r="A252" s="22"/>
      <c r="B252" s="71"/>
      <c r="C252" s="22"/>
      <c r="D252" s="23"/>
      <c r="E252" s="22"/>
      <c r="F252" s="22"/>
      <c r="G252" s="22"/>
      <c r="H252" s="23"/>
      <c r="I252" s="22"/>
      <c r="J252" s="22"/>
      <c r="K252" s="22"/>
      <c r="L252" s="23"/>
      <c r="M252" s="71"/>
      <c r="N252" s="71"/>
      <c r="O252" s="22"/>
      <c r="P252" s="22"/>
      <c r="Q252" s="22"/>
      <c r="R252" s="71"/>
      <c r="AC252" s="22"/>
      <c r="AD252" s="22"/>
      <c r="AE252" s="22"/>
      <c r="AF252" s="22"/>
      <c r="AG252" s="22"/>
      <c r="AH252" s="22"/>
      <c r="AI252" s="22"/>
      <c r="AJ252" s="22"/>
      <c r="AK252" s="22"/>
      <c r="AL252" s="22"/>
      <c r="AM252" s="22"/>
      <c r="AN252" s="22"/>
      <c r="AO252" s="22"/>
      <c r="AP252" s="22"/>
      <c r="AQ252" s="22"/>
      <c r="AR252" s="22"/>
      <c r="AS252" s="22"/>
    </row>
    <row r="253" spans="1:45" x14ac:dyDescent="0.3">
      <c r="A253" s="22"/>
      <c r="B253" s="71"/>
      <c r="C253" s="22"/>
      <c r="D253" s="23"/>
      <c r="E253" s="22"/>
      <c r="F253" s="22"/>
      <c r="G253" s="22"/>
      <c r="H253" s="23"/>
      <c r="I253" s="22"/>
      <c r="J253" s="22"/>
      <c r="K253" s="22"/>
      <c r="L253" s="23"/>
      <c r="M253" s="71"/>
      <c r="N253" s="71"/>
      <c r="O253" s="22"/>
      <c r="P253" s="22"/>
      <c r="Q253" s="22"/>
      <c r="R253" s="71"/>
      <c r="AC253" s="22"/>
      <c r="AD253" s="22"/>
      <c r="AE253" s="22"/>
      <c r="AF253" s="22"/>
      <c r="AG253" s="22"/>
      <c r="AH253" s="22"/>
      <c r="AI253" s="22"/>
      <c r="AJ253" s="22"/>
      <c r="AK253" s="22"/>
      <c r="AL253" s="22"/>
      <c r="AM253" s="22"/>
      <c r="AN253" s="22"/>
      <c r="AO253" s="22"/>
      <c r="AP253" s="22"/>
      <c r="AQ253" s="22"/>
      <c r="AR253" s="22"/>
      <c r="AS253" s="22"/>
    </row>
    <row r="254" spans="1:45" x14ac:dyDescent="0.3">
      <c r="A254" s="22"/>
      <c r="B254" s="71"/>
      <c r="C254" s="22"/>
      <c r="D254" s="23"/>
      <c r="E254" s="22"/>
      <c r="F254" s="22"/>
      <c r="G254" s="22"/>
      <c r="H254" s="23"/>
      <c r="I254" s="22"/>
      <c r="J254" s="22"/>
      <c r="K254" s="22"/>
      <c r="L254" s="23"/>
      <c r="M254" s="71"/>
      <c r="N254" s="71"/>
      <c r="O254" s="22"/>
      <c r="P254" s="22"/>
      <c r="Q254" s="22"/>
      <c r="R254" s="71"/>
      <c r="AC254" s="22"/>
      <c r="AD254" s="22"/>
      <c r="AE254" s="22"/>
      <c r="AF254" s="22"/>
      <c r="AG254" s="22"/>
      <c r="AH254" s="22"/>
      <c r="AI254" s="22"/>
      <c r="AJ254" s="22"/>
      <c r="AK254" s="22"/>
      <c r="AL254" s="22"/>
      <c r="AM254" s="22"/>
      <c r="AN254" s="22"/>
      <c r="AO254" s="22"/>
      <c r="AP254" s="22"/>
      <c r="AQ254" s="22"/>
      <c r="AR254" s="22"/>
      <c r="AS254" s="22"/>
    </row>
  </sheetData>
  <sheetProtection algorithmName="SHA-512" hashValue="uqfT5pliWlCqqLvLvBDo6foRO1G+wbZz8V7Rm99w4d8nuIl2pxKNWTHjNX14rsfd7aNg9CYSsnUeGytYX7Q12g==" saltValue="UXioID25K5RwzK+3KSnfzw==" spinCount="100000" sheet="1" objects="1" scenarios="1" selectLockedCells="1"/>
  <mergeCells count="79">
    <mergeCell ref="D50:F50"/>
    <mergeCell ref="G50:I50"/>
    <mergeCell ref="K50:L50"/>
    <mergeCell ref="J10:L1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G26:I26"/>
    <mergeCell ref="K26:L26"/>
    <mergeCell ref="G27:I27"/>
    <mergeCell ref="K27:L27"/>
    <mergeCell ref="C28:F28"/>
    <mergeCell ref="G28:I28"/>
    <mergeCell ref="K28:L28"/>
    <mergeCell ref="C23:F23"/>
    <mergeCell ref="G23:I23"/>
    <mergeCell ref="K23:L23"/>
    <mergeCell ref="G25:I25"/>
    <mergeCell ref="K25:L25"/>
    <mergeCell ref="G21:I21"/>
    <mergeCell ref="K21:L21"/>
    <mergeCell ref="C22:F22"/>
    <mergeCell ref="G22:I22"/>
    <mergeCell ref="K22:L22"/>
    <mergeCell ref="AC22:AF22"/>
    <mergeCell ref="AG22:AH22"/>
    <mergeCell ref="T18:W18"/>
    <mergeCell ref="X18:Y18"/>
    <mergeCell ref="A4:A6"/>
    <mergeCell ref="O4:O7"/>
    <mergeCell ref="C17:L17"/>
    <mergeCell ref="C18:F18"/>
    <mergeCell ref="G18:I19"/>
    <mergeCell ref="J18:J19"/>
    <mergeCell ref="K18:L19"/>
    <mergeCell ref="C19:F19"/>
    <mergeCell ref="C20:F20"/>
    <mergeCell ref="G20:I20"/>
    <mergeCell ref="K20:L20"/>
    <mergeCell ref="C21:F21"/>
  </mergeCells>
  <conditionalFormatting sqref="C25:F27">
    <cfRule type="expression" dxfId="91" priority="1">
      <formula>INDEX(Status_Systeme,$A$2)=TRUE</formula>
    </cfRule>
  </conditionalFormatting>
  <conditionalFormatting sqref="C33:J35 C36:L50 C20:J23 C24:L24 G25:J27 C28:J31 C18:L19 C32:L32">
    <cfRule type="expression" dxfId="90" priority="20">
      <formula>INDEX(Status_Systeme,$A$2)=TRUE</formula>
    </cfRule>
  </conditionalFormatting>
  <conditionalFormatting sqref="C33:J35">
    <cfRule type="expression" dxfId="89" priority="12">
      <formula>AND(INDEX(Status_Systeme,$A$2)=TRUE,C33&lt;&gt;"")</formula>
    </cfRule>
    <cfRule type="expression" dxfId="88" priority="19">
      <formula>AND(INDEX(Status_Systeme,$A$2)=FALSE,C33="",$S33&gt;0,$S33&lt;3)</formula>
    </cfRule>
    <cfRule type="expression" dxfId="87" priority="22">
      <formula>AND(INDEX(Status_Systeme,$A$2)=FALSE,$S33=0)</formula>
    </cfRule>
  </conditionalFormatting>
  <conditionalFormatting sqref="C2:L6">
    <cfRule type="iconSet" priority="25">
      <iconSet iconSet="3Symbols" showValue="0">
        <cfvo type="percent" val="0"/>
        <cfvo type="num" val="1"/>
        <cfvo type="num" val="2"/>
      </iconSet>
    </cfRule>
  </conditionalFormatting>
  <conditionalFormatting sqref="C48:L50">
    <cfRule type="expression" dxfId="86" priority="18">
      <formula>EA_PV_Status=FALSE</formula>
    </cfRule>
  </conditionalFormatting>
  <conditionalFormatting sqref="G20:I31">
    <cfRule type="expression" dxfId="85" priority="13">
      <formula>AND(O20&lt;&gt;"",S20=FALSE)</formula>
    </cfRule>
    <cfRule type="expression" dxfId="84" priority="23">
      <formula>AND(INDEX(Status_Systeme,$A$2)=FALSE,G20="",S20=TRUE)</formula>
    </cfRule>
  </conditionalFormatting>
  <conditionalFormatting sqref="G20:I35 C33:F35 J33:J35">
    <cfRule type="expression" dxfId="83" priority="21">
      <formula>C20&lt;&gt;""</formula>
    </cfRule>
  </conditionalFormatting>
  <conditionalFormatting sqref="G44:I44">
    <cfRule type="expression" dxfId="82" priority="24">
      <formula>Basis_mod_HWB=TRUE</formula>
    </cfRule>
  </conditionalFormatting>
  <conditionalFormatting sqref="G45:I45">
    <cfRule type="expression" dxfId="81" priority="14">
      <formula>Basis_mod_WWWB=TRUE</formula>
    </cfRule>
  </conditionalFormatting>
  <conditionalFormatting sqref="J40">
    <cfRule type="expression" dxfId="80" priority="17">
      <formula>Basis_mod_Betrieb=TRUE</formula>
    </cfRule>
  </conditionalFormatting>
  <conditionalFormatting sqref="J44:J45">
    <cfRule type="expression" dxfId="79" priority="16">
      <formula>Basis_mod_Energiekosten=TRUE</formula>
    </cfRule>
  </conditionalFormatting>
  <conditionalFormatting sqref="J49:J50">
    <cfRule type="expression" dxfId="78" priority="15">
      <formula>Basis_mod_Energiekosten=TRUE</formula>
    </cfRule>
  </conditionalFormatting>
  <conditionalFormatting sqref="K20:L23">
    <cfRule type="expression" dxfId="77" priority="11">
      <formula>INDEX(Status_Systeme,$A$2)=TRUE</formula>
    </cfRule>
  </conditionalFormatting>
  <conditionalFormatting sqref="K25:L31">
    <cfRule type="expression" dxfId="76" priority="6">
      <formula>INDEX(Status_Systeme,$A$2)=TRUE</formula>
    </cfRule>
  </conditionalFormatting>
  <conditionalFormatting sqref="K33:L35">
    <cfRule type="expression" dxfId="75" priority="9">
      <formula>INDEX(Status_Systeme,$A$2)=TRUE</formula>
    </cfRule>
  </conditionalFormatting>
  <dataValidations count="3">
    <dataValidation type="whole" allowBlank="1" showInputMessage="1" showErrorMessage="1" sqref="A10" xr:uid="{00000000-0002-0000-0300-000000000000}">
      <formula1>0</formula1>
      <formula2>0</formula2>
    </dataValidation>
    <dataValidation type="whole" operator="greaterThan" allowBlank="1" showInputMessage="1" showErrorMessage="1" errorTitle="Ungültige Eingabe" error="Bitte geben Sie einen Betrag größer als 0 an." sqref="G20:I23 G25:I31 G33:I35" xr:uid="{00000000-0002-0000-0300-000001000000}">
      <formula1>0</formula1>
    </dataValidation>
    <dataValidation operator="greaterThan" allowBlank="1" showInputMessage="1" showErrorMessage="1" sqref="J40" xr:uid="{00000000-0002-0000-0300-000002000000}"/>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300-000003000000}">
          <x14:formula1>
            <xm:f>Auswahl!$E$3</xm:f>
          </x14:formula1>
          <x14:formula2>
            <xm:f>Auswahl!$E$4</xm:f>
          </x14:formula2>
          <xm:sqref>J33:J35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74" customWidth="1"/>
    <col min="14" max="14" width="2.5703125" style="74" customWidth="1"/>
    <col min="15" max="15" width="26" style="20" customWidth="1"/>
    <col min="16" max="16" width="16.7109375" style="20" customWidth="1"/>
    <col min="17" max="17" width="30" style="20" customWidth="1"/>
    <col min="18" max="18" width="11.42578125" style="74"/>
    <col min="19" max="26" width="11.42578125" style="74" hidden="1" customWidth="1"/>
    <col min="27" max="28" width="11.42578125" style="74" customWidth="1"/>
    <col min="29" max="16384" width="11.42578125" style="20"/>
  </cols>
  <sheetData>
    <row r="1" spans="1:45" x14ac:dyDescent="0.3">
      <c r="A1" s="22"/>
      <c r="B1" s="71"/>
      <c r="C1" s="22"/>
      <c r="D1" s="23"/>
      <c r="E1" s="22"/>
      <c r="F1" s="22"/>
      <c r="G1" s="22"/>
      <c r="H1" s="23"/>
      <c r="I1" s="22"/>
      <c r="J1" s="22"/>
      <c r="K1" s="22"/>
      <c r="L1" s="23"/>
      <c r="M1" s="71"/>
      <c r="N1" s="71"/>
      <c r="O1" s="22"/>
      <c r="P1" s="22"/>
      <c r="Q1" s="22"/>
      <c r="R1" s="71"/>
      <c r="S1" s="71"/>
      <c r="T1" s="71"/>
      <c r="U1" s="71"/>
      <c r="V1" s="71"/>
      <c r="W1" s="71"/>
      <c r="X1" s="71"/>
      <c r="Y1" s="71"/>
      <c r="Z1" s="71"/>
      <c r="AA1" s="71"/>
      <c r="AB1" s="71"/>
      <c r="AC1" s="22"/>
      <c r="AD1" s="22"/>
      <c r="AE1" s="22"/>
      <c r="AF1" s="22"/>
      <c r="AG1" s="22"/>
      <c r="AH1" s="22"/>
      <c r="AI1" s="22"/>
      <c r="AJ1" s="22"/>
      <c r="AK1" s="22"/>
      <c r="AL1" s="22"/>
      <c r="AM1" s="22"/>
      <c r="AN1" s="22"/>
      <c r="AO1" s="22"/>
      <c r="AP1" s="22"/>
      <c r="AQ1" s="22"/>
      <c r="AR1" s="22"/>
      <c r="AS1" s="22"/>
    </row>
    <row r="2" spans="1:45" ht="18.75" customHeight="1" x14ac:dyDescent="0.3">
      <c r="A2" s="45">
        <v>3</v>
      </c>
      <c r="B2" s="77"/>
      <c r="C2" s="38" t="str">
        <f>" "&amp;INDEX(Auswahl!$G$2:$G$10,1+0)&amp;" | "&amp;INDEX(Auswahl!$H$2:$H$10,1+0)</f>
        <v xml:space="preserve"> A | Antragsformular</v>
      </c>
      <c r="D2" s="156">
        <f>IF(Auswahl!$I$2=TRUE,2,0)</f>
        <v>0</v>
      </c>
      <c r="E2" s="30"/>
      <c r="F2" s="38" t="str">
        <f>" "&amp;INDEX(Auswahl!$G$2:$G$10,1+3)&amp;" | "&amp;INDEX(Auswahl!$H$2:$H$10,1+3)</f>
        <v xml:space="preserve"> 2 | Pelletsanlage</v>
      </c>
      <c r="G2" s="44"/>
      <c r="H2" s="156">
        <f>IF(Auswahl!$I$5=TRUE,2,0)</f>
        <v>0</v>
      </c>
      <c r="I2" s="32"/>
      <c r="J2" s="38" t="str">
        <f>" "&amp;INDEX(Auswahl!$G$2:$G$10,1+6)&amp;" | "&amp;INDEX(Auswahl!$H$2:$H$10,1+6)</f>
        <v xml:space="preserve"> 5 | Wärmepumpe (Wasser)</v>
      </c>
      <c r="K2" s="44"/>
      <c r="L2" s="156">
        <f>IF(Auswahl!$I$8=TRUE,2,0)</f>
        <v>0</v>
      </c>
      <c r="M2" s="79"/>
      <c r="N2" s="79"/>
      <c r="O2" s="22"/>
      <c r="P2" s="22"/>
      <c r="Q2" s="22"/>
      <c r="R2" s="71"/>
      <c r="S2" s="71"/>
      <c r="T2" s="71"/>
      <c r="U2" s="71"/>
      <c r="V2" s="71"/>
      <c r="W2" s="71"/>
      <c r="X2" s="71"/>
      <c r="Y2" s="71"/>
      <c r="Z2" s="71"/>
      <c r="AA2" s="71"/>
      <c r="AB2" s="71"/>
      <c r="AC2" s="22"/>
      <c r="AD2" s="22"/>
      <c r="AE2" s="22"/>
      <c r="AF2" s="22"/>
      <c r="AG2" s="22"/>
      <c r="AH2" s="22"/>
      <c r="AI2" s="22"/>
      <c r="AJ2" s="22"/>
      <c r="AK2" s="22"/>
      <c r="AL2" s="22"/>
      <c r="AM2" s="22"/>
      <c r="AN2" s="22"/>
      <c r="AO2" s="22"/>
      <c r="AP2" s="22"/>
      <c r="AQ2" s="22"/>
      <c r="AR2" s="22"/>
      <c r="AS2" s="22"/>
    </row>
    <row r="3" spans="1:45" ht="3.75" customHeight="1" x14ac:dyDescent="0.3">
      <c r="A3" s="36"/>
      <c r="B3" s="77"/>
      <c r="C3" s="33"/>
      <c r="D3" s="27"/>
      <c r="E3" s="30"/>
      <c r="F3" s="34"/>
      <c r="G3" s="34"/>
      <c r="H3" s="153"/>
      <c r="I3" s="32"/>
      <c r="J3" s="33"/>
      <c r="K3" s="33"/>
      <c r="L3" s="153"/>
      <c r="M3" s="79"/>
      <c r="N3" s="79"/>
      <c r="O3" s="22"/>
      <c r="P3" s="22"/>
      <c r="Q3" s="22"/>
      <c r="R3" s="71"/>
      <c r="S3" s="71"/>
      <c r="T3" s="71"/>
      <c r="U3" s="71"/>
      <c r="V3" s="71"/>
      <c r="W3" s="71"/>
      <c r="X3" s="71"/>
      <c r="Y3" s="71"/>
      <c r="Z3" s="71"/>
      <c r="AA3" s="71"/>
      <c r="AB3" s="71"/>
      <c r="AC3" s="22"/>
      <c r="AD3" s="22"/>
      <c r="AE3" s="22"/>
      <c r="AF3" s="22"/>
      <c r="AG3" s="22"/>
      <c r="AH3" s="22"/>
      <c r="AI3" s="22"/>
      <c r="AJ3" s="22"/>
      <c r="AK3" s="22"/>
      <c r="AL3" s="22"/>
      <c r="AM3" s="22"/>
      <c r="AN3" s="22"/>
      <c r="AO3" s="22"/>
      <c r="AP3" s="22"/>
      <c r="AQ3" s="22"/>
      <c r="AR3" s="22"/>
      <c r="AS3" s="22"/>
    </row>
    <row r="4" spans="1:45" ht="18.75" customHeight="1" x14ac:dyDescent="0.3">
      <c r="A4" s="334" t="s">
        <v>78</v>
      </c>
      <c r="B4" s="77"/>
      <c r="C4" s="38" t="str">
        <f>" "&amp;INDEX(Auswahl!$G$2:$G$10,1+1)&amp;" | "&amp;INDEX(Auswahl!$H$2:$H$10,1+1)</f>
        <v xml:space="preserve"> 0 | Basisangaben</v>
      </c>
      <c r="D4" s="156">
        <f>IF(Auswahl!$I$3=TRUE,2,0)</f>
        <v>0</v>
      </c>
      <c r="E4" s="30"/>
      <c r="F4" s="39" t="str">
        <f>" "&amp;INDEX(Auswahl!$G$2:$G$10,1+4)&amp;" | "&amp;INDEX(Auswahl!$H$2:$H$10,1+4)</f>
        <v xml:space="preserve"> 3 | Nah- /Fernwärme (ern.)</v>
      </c>
      <c r="G4" s="151"/>
      <c r="H4" s="278">
        <f>IF(Auswahl!$I$6=TRUE,2,0)</f>
        <v>0</v>
      </c>
      <c r="I4" s="32"/>
      <c r="J4" s="38" t="str">
        <f>" "&amp;INDEX(Auswahl!$G$2:$G$10,1+7)&amp;" | "&amp;INDEX(Auswahl!$H$2:$H$10,1+7)</f>
        <v xml:space="preserve"> 6 | Wärmepumpe (Sole)</v>
      </c>
      <c r="K4" s="44"/>
      <c r="L4" s="156">
        <f>IF(Auswahl!$I$9=TRUE,2,0)</f>
        <v>0</v>
      </c>
      <c r="M4" s="80"/>
      <c r="N4" s="80"/>
      <c r="O4" s="335"/>
      <c r="P4" s="22"/>
      <c r="Q4" s="22"/>
      <c r="R4" s="71"/>
      <c r="S4" s="71"/>
      <c r="T4" s="71"/>
      <c r="U4" s="71"/>
      <c r="V4" s="71"/>
      <c r="W4" s="71"/>
      <c r="X4" s="71"/>
      <c r="Y4" s="71"/>
      <c r="Z4" s="71"/>
      <c r="AA4" s="71"/>
      <c r="AB4" s="71"/>
      <c r="AC4" s="22"/>
      <c r="AD4" s="22"/>
      <c r="AE4" s="22"/>
      <c r="AF4" s="22"/>
      <c r="AG4" s="22"/>
      <c r="AH4" s="22"/>
      <c r="AI4" s="22"/>
      <c r="AJ4" s="22"/>
      <c r="AK4" s="22"/>
      <c r="AL4" s="22"/>
      <c r="AM4" s="22"/>
      <c r="AN4" s="22"/>
      <c r="AO4" s="22"/>
      <c r="AP4" s="22"/>
      <c r="AQ4" s="22"/>
      <c r="AR4" s="22"/>
      <c r="AS4" s="22"/>
    </row>
    <row r="5" spans="1:45" ht="3.75" customHeight="1" x14ac:dyDescent="0.3">
      <c r="A5" s="334"/>
      <c r="B5" s="77"/>
      <c r="C5" s="33"/>
      <c r="D5" s="153"/>
      <c r="E5" s="30"/>
      <c r="F5" s="34"/>
      <c r="G5" s="34"/>
      <c r="H5" s="153"/>
      <c r="I5" s="32"/>
      <c r="J5" s="33"/>
      <c r="K5" s="33"/>
      <c r="L5" s="153"/>
      <c r="M5" s="80"/>
      <c r="N5" s="80"/>
      <c r="O5" s="335"/>
      <c r="P5" s="22"/>
      <c r="Q5" s="22"/>
      <c r="R5" s="71"/>
      <c r="S5" s="71"/>
      <c r="T5" s="71"/>
      <c r="U5" s="71"/>
      <c r="V5" s="71"/>
      <c r="W5" s="71"/>
      <c r="X5" s="71"/>
      <c r="Y5" s="71"/>
      <c r="Z5" s="71"/>
      <c r="AA5" s="71"/>
      <c r="AB5" s="71"/>
      <c r="AC5" s="22"/>
      <c r="AD5" s="22"/>
      <c r="AE5" s="22"/>
      <c r="AF5" s="22"/>
      <c r="AG5" s="22"/>
      <c r="AH5" s="22"/>
      <c r="AI5" s="22"/>
      <c r="AJ5" s="22"/>
      <c r="AK5" s="22"/>
      <c r="AL5" s="22"/>
      <c r="AM5" s="22"/>
      <c r="AN5" s="22"/>
      <c r="AO5" s="22"/>
      <c r="AP5" s="22"/>
      <c r="AQ5" s="22"/>
      <c r="AR5" s="22"/>
      <c r="AS5" s="22"/>
    </row>
    <row r="6" spans="1:45" ht="18.75" customHeight="1" x14ac:dyDescent="0.3">
      <c r="A6" s="334"/>
      <c r="B6" s="77"/>
      <c r="C6" s="38" t="str">
        <f>" "&amp;INDEX(Auswahl!$G$2:$G$10,1+2)&amp;" | "&amp;INDEX(Auswahl!$H$2:$H$10,1+2)</f>
        <v xml:space="preserve"> 1 | Bitte wählen…</v>
      </c>
      <c r="D6" s="156">
        <f>IF(Auswahl!$I$4=TRUE,2,0)</f>
        <v>0</v>
      </c>
      <c r="E6" s="30"/>
      <c r="F6" s="38" t="str">
        <f>" "&amp;INDEX(Auswahl!$G$2:$G$10,1+5)&amp;" | "&amp;INDEX(Auswahl!$H$2:$H$10,1+5)</f>
        <v xml:space="preserve"> 4 | Wärmepumpe (Luft)</v>
      </c>
      <c r="G6" s="179"/>
      <c r="H6" s="156">
        <f>IF(Auswahl!$I$7=TRUE,2,0)</f>
        <v>0</v>
      </c>
      <c r="I6" s="32"/>
      <c r="J6" s="38" t="str">
        <f>" "&amp;INDEX(Auswahl!$G$2:$G$10,1+8)&amp;" | "&amp;INDEX(Auswahl!$H$2:$H$10,1+8)</f>
        <v xml:space="preserve"> 7 | Rahmenbedingungen</v>
      </c>
      <c r="K6" s="44"/>
      <c r="L6" s="156">
        <f>IF(Auswahl!$I$10=TRUE,2,0)</f>
        <v>0</v>
      </c>
      <c r="M6" s="80"/>
      <c r="N6" s="80"/>
      <c r="O6" s="335"/>
      <c r="P6" s="22"/>
      <c r="Q6" s="22"/>
      <c r="R6" s="71"/>
      <c r="S6" s="71"/>
      <c r="T6" s="71"/>
      <c r="U6" s="71"/>
      <c r="V6" s="71"/>
      <c r="W6" s="71"/>
      <c r="X6" s="71"/>
      <c r="Y6" s="71"/>
      <c r="Z6" s="71"/>
      <c r="AA6" s="71"/>
      <c r="AB6" s="71"/>
      <c r="AC6" s="22"/>
      <c r="AD6" s="22"/>
      <c r="AE6" s="22"/>
      <c r="AF6" s="22"/>
      <c r="AG6" s="22"/>
      <c r="AH6" s="22"/>
      <c r="AI6" s="22"/>
      <c r="AJ6" s="22"/>
      <c r="AK6" s="22"/>
      <c r="AL6" s="22"/>
      <c r="AM6" s="22"/>
      <c r="AN6" s="22"/>
      <c r="AO6" s="22"/>
      <c r="AP6" s="22"/>
      <c r="AQ6" s="22"/>
      <c r="AR6" s="22"/>
      <c r="AS6" s="22"/>
    </row>
    <row r="7" spans="1:45" ht="6.75" customHeight="1" x14ac:dyDescent="0.3">
      <c r="A7" s="22"/>
      <c r="B7" s="71"/>
      <c r="C7" s="29"/>
      <c r="D7" s="153"/>
      <c r="E7" s="24"/>
      <c r="F7" s="29"/>
      <c r="G7" s="29"/>
      <c r="H7" s="153"/>
      <c r="I7" s="25"/>
      <c r="J7" s="29"/>
      <c r="K7" s="29"/>
      <c r="L7" s="153"/>
      <c r="M7" s="80"/>
      <c r="N7" s="80"/>
      <c r="O7" s="335"/>
      <c r="P7" s="22"/>
      <c r="Q7" s="22"/>
      <c r="R7" s="71"/>
      <c r="S7" s="71"/>
      <c r="T7" s="71"/>
      <c r="U7" s="71"/>
      <c r="V7" s="71"/>
      <c r="W7" s="71"/>
      <c r="X7" s="71"/>
      <c r="Y7" s="71"/>
      <c r="Z7" s="71"/>
      <c r="AA7" s="71"/>
      <c r="AB7" s="71"/>
      <c r="AC7" s="22"/>
      <c r="AD7" s="22"/>
      <c r="AE7" s="22"/>
      <c r="AF7" s="22"/>
      <c r="AG7" s="22"/>
      <c r="AH7" s="22"/>
      <c r="AI7" s="22"/>
      <c r="AJ7" s="22"/>
      <c r="AK7" s="22"/>
      <c r="AL7" s="22"/>
      <c r="AM7" s="22"/>
      <c r="AN7" s="22"/>
      <c r="AO7" s="22"/>
      <c r="AP7" s="22"/>
      <c r="AQ7" s="22"/>
      <c r="AR7" s="22"/>
      <c r="AS7" s="22"/>
    </row>
    <row r="8" spans="1:45" ht="12.75" customHeight="1" x14ac:dyDescent="0.3">
      <c r="A8" s="22"/>
      <c r="B8" s="78"/>
      <c r="C8" s="35"/>
      <c r="D8" s="31"/>
      <c r="E8" s="24"/>
      <c r="F8" s="24"/>
      <c r="G8" s="24"/>
      <c r="H8" s="31"/>
      <c r="I8" s="24"/>
      <c r="J8" s="24"/>
      <c r="K8" s="24"/>
      <c r="L8" s="31"/>
      <c r="M8" s="78"/>
      <c r="N8" s="78"/>
      <c r="O8" s="22"/>
      <c r="P8" s="22"/>
      <c r="Q8" s="22"/>
      <c r="R8" s="71"/>
      <c r="S8" s="71"/>
      <c r="T8" s="71"/>
      <c r="U8" s="71"/>
      <c r="V8" s="71"/>
      <c r="W8" s="71"/>
      <c r="X8" s="71"/>
      <c r="Y8" s="71"/>
      <c r="Z8" s="71"/>
      <c r="AA8" s="71"/>
      <c r="AB8" s="71"/>
      <c r="AC8" s="22"/>
      <c r="AD8" s="22"/>
      <c r="AE8" s="22"/>
      <c r="AF8" s="22"/>
      <c r="AG8" s="22"/>
      <c r="AH8" s="22"/>
      <c r="AI8" s="22"/>
      <c r="AJ8" s="22"/>
      <c r="AK8" s="22"/>
      <c r="AL8" s="22"/>
      <c r="AM8" s="22"/>
      <c r="AN8" s="22"/>
      <c r="AO8" s="22"/>
      <c r="AP8" s="22"/>
      <c r="AQ8" s="22"/>
      <c r="AR8" s="22"/>
      <c r="AS8" s="22"/>
    </row>
    <row r="9" spans="1:45" ht="3.75" customHeight="1" x14ac:dyDescent="0.3">
      <c r="A9" s="22"/>
      <c r="N9" s="71"/>
      <c r="O9" s="22"/>
      <c r="P9" s="22"/>
      <c r="Q9" s="22"/>
      <c r="R9" s="71"/>
      <c r="S9" s="71"/>
      <c r="T9" s="71"/>
      <c r="U9" s="71"/>
      <c r="V9" s="71"/>
      <c r="W9" s="71"/>
      <c r="X9" s="71"/>
      <c r="Y9" s="71"/>
      <c r="Z9" s="71"/>
      <c r="AA9" s="71"/>
      <c r="AB9" s="71"/>
      <c r="AC9" s="22"/>
      <c r="AD9" s="22"/>
      <c r="AE9" s="22"/>
      <c r="AF9" s="22"/>
      <c r="AG9" s="22"/>
      <c r="AH9" s="22"/>
      <c r="AI9" s="22"/>
      <c r="AJ9" s="22"/>
      <c r="AK9" s="22"/>
      <c r="AL9" s="22"/>
      <c r="AM9" s="22"/>
      <c r="AN9" s="22"/>
      <c r="AO9" s="22"/>
      <c r="AP9" s="22"/>
      <c r="AQ9" s="22"/>
      <c r="AR9" s="22"/>
      <c r="AS9" s="22"/>
    </row>
    <row r="10" spans="1:45" ht="20.25" x14ac:dyDescent="0.3">
      <c r="A10" s="277"/>
      <c r="C10" s="46" t="str">
        <f>$A$2&amp;". SYSTEM: "&amp;UPPER(VLOOKUP($A$2,Navigation,2,FALSE))</f>
        <v>3. SYSTEM: NAH- /FERNWÄRME (ERN.)</v>
      </c>
      <c r="D10" s="47"/>
      <c r="E10" s="48"/>
      <c r="F10" s="48"/>
      <c r="G10" s="48"/>
      <c r="H10" s="48"/>
      <c r="I10" s="48"/>
      <c r="J10" s="400" t="str">
        <f>IF(Auswahl!$I$6=TRUE,"",UPPER("unvollständig"))</f>
        <v>UNVOLLSTÄNDIG</v>
      </c>
      <c r="K10" s="400"/>
      <c r="L10" s="400"/>
      <c r="M10" s="76"/>
      <c r="N10" s="78"/>
      <c r="O10" s="24"/>
      <c r="P10" s="22"/>
      <c r="Q10" s="22"/>
      <c r="R10" s="71"/>
      <c r="S10" s="71"/>
      <c r="T10" s="71"/>
      <c r="U10" s="101"/>
      <c r="V10" s="71"/>
      <c r="W10" s="71"/>
      <c r="X10" s="102"/>
      <c r="Y10" s="71"/>
      <c r="Z10" s="71"/>
      <c r="AA10" s="71"/>
      <c r="AB10" s="71"/>
      <c r="AC10" s="22"/>
      <c r="AD10" s="22"/>
      <c r="AE10" s="22"/>
      <c r="AF10" s="22"/>
      <c r="AG10" s="22"/>
      <c r="AH10" s="22"/>
      <c r="AI10" s="22"/>
      <c r="AJ10" s="22"/>
      <c r="AK10" s="22"/>
      <c r="AL10" s="22"/>
      <c r="AM10" s="22"/>
      <c r="AN10" s="22"/>
      <c r="AO10" s="22"/>
      <c r="AP10" s="22"/>
      <c r="AQ10" s="22"/>
      <c r="AR10" s="22"/>
      <c r="AS10" s="22"/>
    </row>
    <row r="11" spans="1:45" x14ac:dyDescent="0.3">
      <c r="A11" s="22"/>
      <c r="C11" s="48"/>
      <c r="D11" s="48"/>
      <c r="E11" s="48"/>
      <c r="F11" s="48"/>
      <c r="G11" s="48"/>
      <c r="H11" s="48"/>
      <c r="I11" s="48"/>
      <c r="J11" s="48"/>
      <c r="K11" s="48"/>
      <c r="L11" s="49"/>
      <c r="M11" s="76"/>
      <c r="N11" s="78"/>
      <c r="O11" s="24"/>
      <c r="P11" s="22"/>
      <c r="Q11" s="22"/>
      <c r="R11" s="71"/>
      <c r="S11" s="71"/>
      <c r="T11" s="71"/>
      <c r="U11" s="101"/>
      <c r="V11" s="71"/>
      <c r="W11" s="71"/>
      <c r="X11" s="71"/>
      <c r="Y11" s="71"/>
      <c r="Z11" s="71"/>
      <c r="AA11" s="71"/>
      <c r="AB11" s="71"/>
      <c r="AC11" s="22"/>
      <c r="AD11" s="22"/>
      <c r="AE11" s="22"/>
      <c r="AF11" s="22"/>
      <c r="AG11" s="22"/>
      <c r="AH11" s="22"/>
      <c r="AI11" s="22"/>
      <c r="AJ11" s="22"/>
      <c r="AK11" s="22"/>
      <c r="AL11" s="22"/>
      <c r="AM11" s="22"/>
      <c r="AN11" s="22"/>
      <c r="AO11" s="22"/>
      <c r="AP11" s="22"/>
      <c r="AQ11" s="22"/>
      <c r="AR11" s="22"/>
      <c r="AS11" s="22"/>
    </row>
    <row r="12" spans="1:45" x14ac:dyDescent="0.3">
      <c r="A12" s="190"/>
      <c r="C12" s="47" t="str">
        <f>$A$2&amp;".1 "&amp;UPPER(INDEX(Auswahl!$P$2:$P$6,1))</f>
        <v>3.1 AUSSCHLUSSGRÜNDE</v>
      </c>
      <c r="D12" s="47"/>
      <c r="E12" s="48"/>
      <c r="F12" s="48"/>
      <c r="G12" s="48"/>
      <c r="H12" s="48"/>
      <c r="I12" s="48"/>
      <c r="J12" s="48"/>
      <c r="K12" s="48"/>
      <c r="L12" s="48"/>
      <c r="M12" s="66"/>
      <c r="N12" s="189"/>
      <c r="O12" s="24"/>
      <c r="P12" s="22"/>
      <c r="Q12" s="22"/>
      <c r="R12" s="71"/>
      <c r="S12" s="71"/>
      <c r="T12" s="71"/>
      <c r="U12" s="101"/>
      <c r="V12" s="71"/>
      <c r="W12" s="71"/>
      <c r="X12" s="71"/>
      <c r="Y12" s="71"/>
      <c r="Z12" s="71"/>
      <c r="AA12" s="71"/>
      <c r="AB12" s="71"/>
      <c r="AC12" s="22"/>
      <c r="AD12" s="22"/>
      <c r="AE12" s="22"/>
      <c r="AF12" s="22"/>
      <c r="AG12" s="22"/>
      <c r="AH12" s="22"/>
      <c r="AI12" s="22"/>
      <c r="AJ12" s="22"/>
      <c r="AK12" s="22"/>
      <c r="AL12" s="22"/>
      <c r="AM12" s="22"/>
      <c r="AN12" s="22"/>
      <c r="AO12" s="22"/>
      <c r="AP12" s="22"/>
      <c r="AQ12" s="22"/>
      <c r="AR12" s="22"/>
      <c r="AS12" s="22"/>
    </row>
    <row r="13" spans="1:45" ht="7.5" customHeight="1" x14ac:dyDescent="0.3">
      <c r="A13" s="190"/>
      <c r="C13" s="48"/>
      <c r="D13" s="48"/>
      <c r="E13" s="48"/>
      <c r="F13" s="48"/>
      <c r="G13" s="48"/>
      <c r="H13" s="48"/>
      <c r="I13" s="48"/>
      <c r="J13" s="48"/>
      <c r="K13" s="48"/>
      <c r="L13" s="49"/>
      <c r="M13" s="76"/>
      <c r="N13" s="78"/>
      <c r="O13" s="24"/>
      <c r="P13" s="22"/>
      <c r="Q13" s="22"/>
      <c r="R13" s="71"/>
      <c r="S13" s="71"/>
      <c r="T13" s="71"/>
      <c r="U13" s="71"/>
      <c r="V13" s="71"/>
      <c r="W13" s="71"/>
      <c r="X13" s="71"/>
      <c r="Y13" s="71"/>
      <c r="Z13" s="71"/>
      <c r="AA13" s="71"/>
      <c r="AB13" s="71"/>
      <c r="AC13" s="22"/>
      <c r="AD13" s="22"/>
      <c r="AE13" s="22"/>
      <c r="AF13" s="22"/>
      <c r="AG13" s="22"/>
      <c r="AH13" s="22"/>
      <c r="AI13" s="22"/>
      <c r="AJ13" s="22"/>
      <c r="AK13" s="22"/>
      <c r="AL13" s="22"/>
      <c r="AM13" s="22"/>
      <c r="AN13" s="22"/>
      <c r="AO13" s="22"/>
      <c r="AP13" s="22"/>
      <c r="AQ13" s="22"/>
      <c r="AR13" s="22"/>
      <c r="AS13" s="22"/>
    </row>
    <row r="14" spans="1:45" x14ac:dyDescent="0.3">
      <c r="A14" s="190"/>
      <c r="C14" s="51" t="s">
        <v>314</v>
      </c>
      <c r="D14" s="48"/>
      <c r="E14" s="48"/>
      <c r="F14" s="48"/>
      <c r="G14" s="48"/>
      <c r="H14" s="48"/>
      <c r="I14" s="48"/>
      <c r="J14" s="48"/>
      <c r="K14" s="48"/>
      <c r="L14" s="49"/>
      <c r="M14" s="76"/>
      <c r="N14" s="78"/>
      <c r="O14" s="30"/>
      <c r="P14" s="22"/>
      <c r="Q14" s="22"/>
      <c r="R14" s="71"/>
      <c r="S14" s="71"/>
      <c r="T14" s="71"/>
      <c r="U14" s="71"/>
      <c r="V14" s="71"/>
      <c r="W14" s="71"/>
      <c r="X14" s="71"/>
      <c r="Y14" s="71"/>
      <c r="Z14" s="71"/>
      <c r="AA14" s="71"/>
      <c r="AB14" s="71"/>
      <c r="AC14" s="22"/>
      <c r="AD14" s="22"/>
      <c r="AE14" s="22"/>
      <c r="AF14" s="22"/>
      <c r="AG14" s="22"/>
      <c r="AH14" s="22"/>
      <c r="AI14" s="22"/>
      <c r="AJ14" s="22"/>
      <c r="AK14" s="22"/>
      <c r="AL14" s="22"/>
      <c r="AM14" s="22"/>
      <c r="AN14" s="22"/>
      <c r="AO14" s="22"/>
      <c r="AP14" s="22"/>
      <c r="AQ14" s="22"/>
      <c r="AR14" s="22"/>
      <c r="AS14" s="22"/>
    </row>
    <row r="15" spans="1:45" x14ac:dyDescent="0.3">
      <c r="A15" s="190"/>
      <c r="C15" s="51" t="s">
        <v>315</v>
      </c>
      <c r="D15" s="48"/>
      <c r="E15" s="48"/>
      <c r="F15" s="48"/>
      <c r="G15" s="48"/>
      <c r="H15" s="48"/>
      <c r="I15" s="48"/>
      <c r="J15" s="48"/>
      <c r="K15" s="48"/>
      <c r="L15" s="49"/>
      <c r="M15" s="76"/>
      <c r="N15" s="78"/>
      <c r="O15" s="30"/>
      <c r="P15" s="22"/>
      <c r="Q15" s="187"/>
      <c r="R15" s="71"/>
      <c r="S15" s="71"/>
      <c r="T15" s="71"/>
      <c r="U15" s="71"/>
      <c r="V15" s="71"/>
      <c r="W15" s="71"/>
      <c r="X15" s="71"/>
      <c r="Y15" s="71"/>
      <c r="Z15" s="71"/>
      <c r="AA15" s="71"/>
      <c r="AB15" s="71"/>
      <c r="AC15" s="22"/>
      <c r="AD15" s="22"/>
      <c r="AE15" s="22"/>
      <c r="AF15" s="22"/>
      <c r="AG15" s="22"/>
      <c r="AH15" s="22"/>
      <c r="AI15" s="22"/>
      <c r="AJ15" s="22"/>
      <c r="AK15" s="22"/>
      <c r="AL15" s="22"/>
      <c r="AM15" s="22"/>
      <c r="AN15" s="22"/>
      <c r="AO15" s="22"/>
      <c r="AP15" s="22"/>
      <c r="AQ15" s="22"/>
      <c r="AR15" s="22"/>
      <c r="AS15" s="22"/>
    </row>
    <row r="16" spans="1:45" ht="7.5" customHeight="1" x14ac:dyDescent="0.3">
      <c r="A16" s="190"/>
      <c r="C16" s="48"/>
      <c r="D16" s="48"/>
      <c r="E16" s="48"/>
      <c r="F16" s="48"/>
      <c r="G16" s="48"/>
      <c r="H16" s="48"/>
      <c r="I16" s="48"/>
      <c r="J16" s="48"/>
      <c r="K16" s="48"/>
      <c r="L16" s="49"/>
      <c r="M16" s="76"/>
      <c r="N16" s="78"/>
      <c r="O16" s="30"/>
      <c r="P16" s="22"/>
      <c r="Q16" s="22"/>
      <c r="R16" s="71"/>
      <c r="S16" s="71"/>
      <c r="T16" s="71"/>
      <c r="U16" s="71"/>
      <c r="V16" s="71"/>
      <c r="W16" s="71"/>
      <c r="X16" s="71"/>
      <c r="Y16" s="71"/>
      <c r="Z16" s="71"/>
      <c r="AA16" s="71"/>
      <c r="AB16" s="71"/>
      <c r="AC16" s="22"/>
      <c r="AD16" s="22"/>
      <c r="AE16" s="22"/>
      <c r="AF16" s="22"/>
      <c r="AG16" s="22"/>
      <c r="AH16" s="22"/>
      <c r="AI16" s="22"/>
      <c r="AJ16" s="22"/>
      <c r="AK16" s="22"/>
      <c r="AL16" s="22"/>
      <c r="AM16" s="22"/>
      <c r="AN16" s="22"/>
      <c r="AO16" s="22"/>
      <c r="AP16" s="22"/>
      <c r="AQ16" s="22"/>
      <c r="AR16" s="22"/>
      <c r="AS16" s="22"/>
    </row>
    <row r="17" spans="1:45" ht="42.75" customHeight="1" x14ac:dyDescent="0.3">
      <c r="A17" s="190"/>
      <c r="C17" s="393" t="str">
        <f>IF(A2=1,TBS_Systeme_4,TBS_Systeme_1&amp;VLOOKUP($A$2,Navigation,2,FALSE)&amp;IF(AND(VLOOKUP($A$2,Navigation,4,FALSE)=FALSE,VLOOKUP($A$2,Navigation,5,FALSE)=FALSE),TBS_Systeme_2,TBS_Systeme_3))</f>
        <v>Die Verwendung einer Nah- /Fernwärme (ern.) ist technisch und rechtlich möglich. Bitte mit der Wirtschaftlichkeitsberechnung fortfahren.</v>
      </c>
      <c r="D17" s="393"/>
      <c r="E17" s="393"/>
      <c r="F17" s="393"/>
      <c r="G17" s="393"/>
      <c r="H17" s="393"/>
      <c r="I17" s="393"/>
      <c r="J17" s="393"/>
      <c r="K17" s="393"/>
      <c r="L17" s="393"/>
      <c r="M17" s="76"/>
      <c r="N17" s="78"/>
      <c r="O17" s="267"/>
      <c r="P17" s="54"/>
      <c r="Q17" s="54"/>
      <c r="R17" s="71"/>
      <c r="S17" s="71"/>
      <c r="T17" s="71"/>
      <c r="U17" s="71"/>
      <c r="V17" s="71"/>
      <c r="W17" s="71"/>
      <c r="X17" s="71"/>
      <c r="Y17" s="71"/>
      <c r="Z17" s="71"/>
      <c r="AA17" s="71"/>
      <c r="AB17" s="71"/>
      <c r="AC17" s="22"/>
      <c r="AD17" s="22"/>
      <c r="AE17" s="22"/>
      <c r="AF17" s="22"/>
      <c r="AG17" s="22"/>
      <c r="AH17" s="22"/>
      <c r="AI17" s="22"/>
      <c r="AJ17" s="22"/>
      <c r="AK17" s="22"/>
      <c r="AL17" s="22"/>
      <c r="AM17" s="22"/>
      <c r="AN17" s="22"/>
      <c r="AO17" s="22"/>
      <c r="AP17" s="22"/>
      <c r="AQ17" s="22"/>
      <c r="AR17" s="22"/>
      <c r="AS17" s="22"/>
    </row>
    <row r="18" spans="1:45" ht="16.5" customHeight="1" x14ac:dyDescent="0.3">
      <c r="A18" s="22"/>
      <c r="B18" s="75"/>
      <c r="C18" s="425" t="str">
        <f>IF(INDEX(Status_Systeme,$A$2)=TRUE,"",$A$2&amp;".2 "&amp;UPPER(INDEX(Auswahl!$P$2:$P$6,2)))</f>
        <v>3.2 INVESTITIONSKOSTEN</v>
      </c>
      <c r="D18" s="425"/>
      <c r="E18" s="425"/>
      <c r="F18" s="425"/>
      <c r="G18" s="410" t="str">
        <f>IF(INDEX(Status_Systeme,$A$2)=TRUE,"","Invest-Kosten¹"&amp;CHAR(10)&amp;"[€]")</f>
        <v>Invest-Kosten¹
[€]</v>
      </c>
      <c r="H18" s="410"/>
      <c r="I18" s="410"/>
      <c r="J18" s="410" t="str">
        <f>IF(INDEX(Status_Systeme,$A$2)=TRUE,"","Nutzung"&amp;CHAR(10)&amp;"t [a]")</f>
        <v>Nutzung
t [a]</v>
      </c>
      <c r="K18" s="408" t="str">
        <f>IF(INDEX(Status_Systeme,$A$2)=TRUE,"","Gesamtkosten"&amp;CHAR(2)&amp;CHAR(10)&amp;"nach "&amp;Basis_Betrachtungszeitraum&amp;"a [€]"&amp;CHAR(2))</f>
        <v>Gesamtkosten_x0002_
nach 20a [€]_x0002_</v>
      </c>
      <c r="L18" s="408"/>
      <c r="M18" s="76"/>
      <c r="N18" s="78"/>
      <c r="O18" s="266"/>
      <c r="P18" s="22"/>
      <c r="Q18" s="22"/>
      <c r="R18" s="71"/>
      <c r="S18" s="70" t="s">
        <v>211</v>
      </c>
      <c r="T18" s="404" t="s">
        <v>4</v>
      </c>
      <c r="U18" s="404"/>
      <c r="V18" s="404"/>
      <c r="W18" s="404"/>
      <c r="X18" s="404" t="s">
        <v>2</v>
      </c>
      <c r="Y18" s="404"/>
      <c r="Z18" s="70" t="s">
        <v>355</v>
      </c>
      <c r="AA18" s="71"/>
      <c r="AB18" s="71"/>
      <c r="AC18" s="22"/>
      <c r="AD18" s="22"/>
      <c r="AE18" s="22"/>
      <c r="AF18" s="22"/>
      <c r="AG18" s="22"/>
      <c r="AH18" s="22"/>
      <c r="AI18" s="22"/>
      <c r="AJ18" s="22"/>
      <c r="AK18" s="22"/>
      <c r="AL18" s="22"/>
      <c r="AM18" s="22"/>
      <c r="AN18" s="22"/>
      <c r="AO18" s="22"/>
      <c r="AP18" s="22"/>
      <c r="AQ18" s="22"/>
      <c r="AR18" s="22"/>
      <c r="AS18" s="22"/>
    </row>
    <row r="19" spans="1:45" ht="21" customHeight="1" x14ac:dyDescent="0.3">
      <c r="A19" s="22"/>
      <c r="B19" s="75"/>
      <c r="C19" s="426" t="str">
        <f>IF(INDEX(Status_Systeme,$A$2)=TRUE,"","A | ANLAGENTEILE")</f>
        <v>A | ANLAGENTEILE</v>
      </c>
      <c r="D19" s="426"/>
      <c r="E19" s="426"/>
      <c r="F19" s="426"/>
      <c r="G19" s="411"/>
      <c r="H19" s="411"/>
      <c r="I19" s="411"/>
      <c r="J19" s="411"/>
      <c r="K19" s="409"/>
      <c r="L19" s="409"/>
      <c r="M19" s="76"/>
      <c r="N19" s="78"/>
      <c r="O19" s="30"/>
      <c r="P19" s="22"/>
      <c r="Q19" s="22"/>
      <c r="R19" s="71"/>
      <c r="S19" s="71"/>
      <c r="T19" s="70" t="s">
        <v>361</v>
      </c>
      <c r="U19" s="70" t="s">
        <v>359</v>
      </c>
      <c r="V19" s="70" t="s">
        <v>360</v>
      </c>
      <c r="W19" s="70" t="s">
        <v>358</v>
      </c>
      <c r="X19" s="70" t="s">
        <v>362</v>
      </c>
      <c r="Y19" s="70" t="s">
        <v>358</v>
      </c>
      <c r="Z19" s="70" t="s">
        <v>358</v>
      </c>
      <c r="AA19" s="71"/>
      <c r="AB19" s="71"/>
      <c r="AC19" s="22"/>
      <c r="AD19" s="22"/>
      <c r="AE19" s="22"/>
      <c r="AF19" s="22"/>
      <c r="AG19" s="22"/>
      <c r="AH19" s="22"/>
      <c r="AI19" s="22"/>
      <c r="AJ19" s="22"/>
      <c r="AK19" s="22"/>
      <c r="AL19" s="22"/>
      <c r="AM19" s="22"/>
      <c r="AN19" s="22"/>
      <c r="AO19" s="22"/>
      <c r="AP19" s="22"/>
      <c r="AQ19" s="22"/>
      <c r="AR19" s="22"/>
      <c r="AS19" s="22"/>
    </row>
    <row r="20" spans="1:45" ht="16.5" customHeight="1" x14ac:dyDescent="0.3">
      <c r="A20" s="22"/>
      <c r="B20" s="184" t="str">
        <f>IF(O20="","","!")</f>
        <v>!</v>
      </c>
      <c r="C20" s="420" t="str">
        <f>IF(INDEX(Status_Systeme,$A$2)=TRUE,"",IF(Basis_WW_dezentral=TRUE,Tabellen!AT5,Tabellen!AT4))</f>
        <v>Warmwasserbereitung</v>
      </c>
      <c r="D20" s="420"/>
      <c r="E20" s="420"/>
      <c r="F20" s="420"/>
      <c r="G20" s="406"/>
      <c r="H20" s="406"/>
      <c r="I20" s="406"/>
      <c r="J20" s="60">
        <f>IF(C20="","",VLOOKUP(C20,Tabelle_Kosten_Komponenten,2,FALSE))</f>
        <v>30</v>
      </c>
      <c r="K20" s="405" t="str">
        <f>IF(OR(C20="",G20="",J20=""),"",Z20+W20-Y20)</f>
        <v/>
      </c>
      <c r="L20" s="405"/>
      <c r="M20" s="76"/>
      <c r="N20" s="178" t="str">
        <f>IF(O20="","","ï")</f>
        <v>ï</v>
      </c>
      <c r="O20" s="268" t="str">
        <f>IF(S20=TRUE,"",IF(LEN(C20)&gt;0,IF(G20="",TBS_Fehler_2,""),IF(G20="","",TBS_Fehler_3)))</f>
        <v>Bitte dieses Feld (roter Bereich = Pflichtfeld) ausfüllen!</v>
      </c>
      <c r="P20" s="272"/>
      <c r="Q20" s="22"/>
      <c r="R20" s="71"/>
      <c r="S20" s="72" t="b">
        <f>ISERROR(FIND("optional",C20))=FALSE</f>
        <v>0</v>
      </c>
      <c r="T20" s="72">
        <f>IF((Basis_Betrachtungszeitraum/J20)&lt;=1,0,IF((Basis_Betrachtungszeitraum/J20)&lt;=2,1,2))</f>
        <v>0</v>
      </c>
      <c r="U20" s="326">
        <f>IF(T20&lt;1,0,G20*IF($A$2=1,1,(1-Basis_Foerderung))*(1+Basis_Preisentwicklung_Produkte)^J20)</f>
        <v>0</v>
      </c>
      <c r="V20" s="326">
        <f>IF(T20&gt;1,G20*IF($A$2=1,1,(1-Basis_Foerderung))*(1+Basis_Preisentwicklung_Produkte)^(2*J20),0)</f>
        <v>0</v>
      </c>
      <c r="W20" s="326">
        <f>U20*(1/(1+Basis_Realzins))^J20+V20*(1/(1+Basis_Realzins))^(2*J20)</f>
        <v>0</v>
      </c>
      <c r="X20" s="73">
        <f>IF((INT(Basis_Betrachtungszeitraum/J20)=Basis_Betrachtungszeitraum/J20),1,(J20*(T20+1)-Basis_Betrachtungszeitraum)/J20)</f>
        <v>0.33333333333333331</v>
      </c>
      <c r="Y20" s="326">
        <f>IF(X20=1,0,IF(T20=0,G20*IF($A$2=1,1,(1-Basis_Foerderung)),INDEX(U20:V20,1,T20))*Basis_Diskontsatz*X20)</f>
        <v>0</v>
      </c>
      <c r="Z20" s="326">
        <f>G20*IF($A$2=1,1,(1-Basis_Foerderung))</f>
        <v>0</v>
      </c>
      <c r="AA20" s="71"/>
      <c r="AB20" s="71"/>
      <c r="AC20" s="22"/>
      <c r="AD20" s="22"/>
      <c r="AE20" s="22"/>
      <c r="AF20" s="22"/>
      <c r="AG20" s="22"/>
      <c r="AH20" s="22"/>
      <c r="AI20" s="22"/>
      <c r="AJ20" s="22"/>
      <c r="AK20" s="22"/>
      <c r="AL20" s="22"/>
      <c r="AM20" s="22"/>
      <c r="AN20" s="22"/>
      <c r="AO20" s="22"/>
      <c r="AP20" s="22"/>
      <c r="AQ20" s="22"/>
      <c r="AR20" s="22"/>
      <c r="AS20" s="22"/>
    </row>
    <row r="21" spans="1:45" x14ac:dyDescent="0.3">
      <c r="A21" s="22"/>
      <c r="B21" s="184" t="str">
        <f>IF(O21="","","!")</f>
        <v/>
      </c>
      <c r="C21" s="420" t="str">
        <f>IF(INDEX(Status_Systeme,$A$2)=TRUE,"",IF(INDEX(Tabelle_Komponenten,1,5)="","",INDEX(Tabelle_Komponenten,1,5)))</f>
        <v/>
      </c>
      <c r="D21" s="420"/>
      <c r="E21" s="420"/>
      <c r="F21" s="420"/>
      <c r="G21" s="406"/>
      <c r="H21" s="406"/>
      <c r="I21" s="406"/>
      <c r="J21" s="60" t="str">
        <f>IF(C21="","",VLOOKUP(C21,Tabelle_Kosten_Komponenten,2,FALSE))</f>
        <v/>
      </c>
      <c r="K21" s="405" t="str">
        <f t="shared" ref="K21:K23" si="0">IF(OR(C21="",G21="",J21=""),"",Z21+W21-Y21)</f>
        <v/>
      </c>
      <c r="L21" s="405"/>
      <c r="M21" s="76"/>
      <c r="N21" s="178" t="str">
        <f>IF(O21="","","ï")</f>
        <v/>
      </c>
      <c r="O21" s="268" t="str">
        <f>IF(S21=TRUE,"",IF(LEN(C21)&gt;0,IF(G21="",TBS_Fehler_2,""),IF(G21="","",TBS_Fehler_3)))</f>
        <v/>
      </c>
      <c r="P21" s="22"/>
      <c r="Q21" s="22"/>
      <c r="R21" s="71"/>
      <c r="S21" s="72" t="b">
        <f>ISERROR(FIND("optional",C21))=FALSE</f>
        <v>0</v>
      </c>
      <c r="T21" s="72" t="e">
        <f>IF((Basis_Betrachtungszeitraum/J21)&lt;=1,0,IF((Basis_Betrachtungszeitraum/J21)&lt;=2,1,2))</f>
        <v>#VALUE!</v>
      </c>
      <c r="U21" s="326" t="e">
        <f>IF(T21&lt;1,0,G21*IF($A$2=1,1,(1-Basis_Foerderung))*(1+Basis_Preisentwicklung_Produkte)^J21)</f>
        <v>#VALUE!</v>
      </c>
      <c r="V21" s="326" t="e">
        <f>IF(T21&gt;1,G21*IF($A$2=1,1,(1-Basis_Foerderung))*(1+Basis_Preisentwicklung_Produkte)^(2*J21),0)</f>
        <v>#VALUE!</v>
      </c>
      <c r="W21" s="326" t="e">
        <f>U21*(1/(1+Basis_Realzins))^J21+V21*(1/(1+Basis_Realzins))^(2*J21)</f>
        <v>#VALUE!</v>
      </c>
      <c r="X21" s="73" t="e">
        <f>IF((INT(Basis_Betrachtungszeitraum/J21)=Basis_Betrachtungszeitraum/J21),1,(J21*(T21+1)-Basis_Betrachtungszeitraum)/J21)</f>
        <v>#VALUE!</v>
      </c>
      <c r="Y21" s="326" t="e">
        <f>IF(X21=1,0,IF(T21=0,G21*IF($A$2=1,1,(1-Basis_Foerderung)),INDEX(U21:V21,1,T21))*Basis_Diskontsatz*X21)</f>
        <v>#VALUE!</v>
      </c>
      <c r="Z21" s="326">
        <f>G21*IF($A$2=1,1,(1-Basis_Foerderung))</f>
        <v>0</v>
      </c>
      <c r="AA21" s="71"/>
      <c r="AB21" s="71"/>
      <c r="AC21" s="22"/>
      <c r="AD21" s="22"/>
      <c r="AE21" s="22"/>
      <c r="AF21" s="22"/>
      <c r="AG21" s="22"/>
      <c r="AH21" s="22"/>
      <c r="AI21" s="22"/>
      <c r="AJ21" s="22"/>
      <c r="AK21" s="22"/>
      <c r="AL21" s="22"/>
      <c r="AM21" s="22"/>
      <c r="AN21" s="22"/>
      <c r="AO21" s="22"/>
      <c r="AP21" s="22"/>
      <c r="AQ21" s="22"/>
      <c r="AR21" s="22"/>
      <c r="AS21" s="22"/>
    </row>
    <row r="22" spans="1:45" x14ac:dyDescent="0.3">
      <c r="A22" s="22"/>
      <c r="B22" s="184" t="str">
        <f>IF(O22="","","!")</f>
        <v/>
      </c>
      <c r="C22" s="420" t="str">
        <f>IF(INDEX(Status_Systeme,$A$2)=TRUE,"",IF(INDEX(Tabelle_Komponenten,2,5)="","",INDEX(Tabelle_Komponenten,2,5)))</f>
        <v/>
      </c>
      <c r="D22" s="420"/>
      <c r="E22" s="420"/>
      <c r="F22" s="420"/>
      <c r="G22" s="406"/>
      <c r="H22" s="406"/>
      <c r="I22" s="406"/>
      <c r="J22" s="58" t="str">
        <f>IF(C22="","",VLOOKUP(C22,Tabelle_Kosten_Komponenten,2,FALSE))</f>
        <v/>
      </c>
      <c r="K22" s="405" t="str">
        <f t="shared" si="0"/>
        <v/>
      </c>
      <c r="L22" s="405"/>
      <c r="M22" s="76"/>
      <c r="N22" s="178" t="str">
        <f>IF(O22="","","ï")</f>
        <v/>
      </c>
      <c r="O22" s="268" t="str">
        <f>IF(S22=TRUE,"",IF(LEN(C22)&gt;0,IF(G22="",TBS_Fehler_2,""),IF(G22="","",TBS_Fehler_3)))</f>
        <v/>
      </c>
      <c r="P22" s="22"/>
      <c r="Q22" s="22"/>
      <c r="R22" s="71"/>
      <c r="S22" s="72" t="b">
        <f>ISERROR(FIND("optional",C22))=FALSE</f>
        <v>0</v>
      </c>
      <c r="T22" s="72" t="e">
        <f>IF((Basis_Betrachtungszeitraum/J22)&lt;=1,0,IF((Basis_Betrachtungszeitraum/J22)&lt;=2,1,2))</f>
        <v>#VALUE!</v>
      </c>
      <c r="U22" s="326" t="e">
        <f>IF(T22&lt;1,0,G22*IF($A$2=1,1,(1-Basis_Foerderung))*(1+Basis_Preisentwicklung_Produkte)^J22)</f>
        <v>#VALUE!</v>
      </c>
      <c r="V22" s="326" t="e">
        <f>IF(T22&gt;1,G22*IF($A$2=1,1,(1-Basis_Foerderung))*(1+Basis_Preisentwicklung_Produkte)^(2*J22),0)</f>
        <v>#VALUE!</v>
      </c>
      <c r="W22" s="326" t="e">
        <f>U22*(1/(1+Basis_Realzins))^J22+V22*(1/(1+Basis_Realzins))^(2*J22)</f>
        <v>#VALUE!</v>
      </c>
      <c r="X22" s="73" t="e">
        <f>IF((INT(Basis_Betrachtungszeitraum/J22)=Basis_Betrachtungszeitraum/J22),1,(J22*(T22+1)-Basis_Betrachtungszeitraum)/J22)</f>
        <v>#VALUE!</v>
      </c>
      <c r="Y22" s="326" t="e">
        <f>IF(X22=1,0,IF(T22=0,G22*IF($A$2=1,1,(1-Basis_Foerderung)),INDEX(U22:V22,1,T22))*Basis_Diskontsatz*X22)</f>
        <v>#VALUE!</v>
      </c>
      <c r="Z22" s="326">
        <f>G22*IF($A$2=1,1,(1-Basis_Foerderung))</f>
        <v>0</v>
      </c>
      <c r="AA22" s="71"/>
      <c r="AB22" s="71"/>
      <c r="AC22" s="22"/>
      <c r="AD22" s="22"/>
      <c r="AE22" s="22"/>
      <c r="AF22" s="22"/>
      <c r="AG22" s="22"/>
      <c r="AH22" s="22"/>
      <c r="AI22" s="22"/>
      <c r="AJ22" s="22"/>
      <c r="AK22" s="22"/>
      <c r="AL22" s="22"/>
      <c r="AM22" s="22"/>
      <c r="AN22" s="22"/>
      <c r="AO22" s="22"/>
      <c r="AP22" s="22"/>
      <c r="AQ22" s="22"/>
      <c r="AR22" s="22"/>
      <c r="AS22" s="22"/>
    </row>
    <row r="23" spans="1:45" x14ac:dyDescent="0.3">
      <c r="A23" s="22"/>
      <c r="B23" s="184" t="str">
        <f>IF(O23="","","!")</f>
        <v/>
      </c>
      <c r="C23" s="420" t="str">
        <f>IF(INDEX(Status_Systeme,$A$2)=TRUE,"",IF(INDEX(Tabelle_Komponenten,3,5)="","",INDEX(Tabelle_Komponenten,3,5)))</f>
        <v/>
      </c>
      <c r="D23" s="420"/>
      <c r="E23" s="420"/>
      <c r="F23" s="420"/>
      <c r="G23" s="406"/>
      <c r="H23" s="406"/>
      <c r="I23" s="406"/>
      <c r="J23" s="58" t="str">
        <f>IF(C23="","",VLOOKUP(C23,Tabelle_Kosten_Komponenten,2,FALSE))</f>
        <v/>
      </c>
      <c r="K23" s="405" t="str">
        <f t="shared" si="0"/>
        <v/>
      </c>
      <c r="L23" s="405"/>
      <c r="M23" s="76"/>
      <c r="N23" s="178" t="str">
        <f>IF(O23="","","ï")</f>
        <v/>
      </c>
      <c r="O23" s="268" t="str">
        <f>IF(S23=TRUE,"",IF(LEN(C23)&gt;0,IF(G23="",TBS_Fehler_2,""),IF(G23="","",TBS_Fehler_3)))</f>
        <v/>
      </c>
      <c r="P23" s="22"/>
      <c r="Q23" s="22"/>
      <c r="R23" s="71"/>
      <c r="S23" s="72" t="b">
        <f>ISERROR(FIND("optional",C23))=FALSE</f>
        <v>0</v>
      </c>
      <c r="T23" s="72" t="e">
        <f>IF((Basis_Betrachtungszeitraum/J23)&lt;=1,0,IF((Basis_Betrachtungszeitraum/J23)&lt;=2,1,2))</f>
        <v>#VALUE!</v>
      </c>
      <c r="U23" s="326" t="e">
        <f>IF(T23&lt;1,0,G23*IF($A$2=1,1,(1-Basis_Foerderung))*(1+Basis_Preisentwicklung_Produkte)^J23)</f>
        <v>#VALUE!</v>
      </c>
      <c r="V23" s="326" t="e">
        <f>IF(T23&gt;1,G23*IF($A$2=1,1,(1-Basis_Foerderung))*(1+Basis_Preisentwicklung_Produkte)^(2*J23),0)</f>
        <v>#VALUE!</v>
      </c>
      <c r="W23" s="326" t="e">
        <f>U23*(1/(1+Basis_Realzins))^J23+V23*(1/(1+Basis_Realzins))^(2*J23)</f>
        <v>#VALUE!</v>
      </c>
      <c r="X23" s="73" t="e">
        <f>IF((INT(Basis_Betrachtungszeitraum/J23)=Basis_Betrachtungszeitraum/J23),1,(J23*(T23+1)-Basis_Betrachtungszeitraum)/J23)</f>
        <v>#VALUE!</v>
      </c>
      <c r="Y23" s="326" t="e">
        <f>IF(X23=1,0,IF(T23=0,G23*IF($A$2=1,1,(1-Basis_Foerderung)),INDEX(U23:V23,1,T23))*Basis_Diskontsatz*X23)</f>
        <v>#VALUE!</v>
      </c>
      <c r="Z23" s="326">
        <f>G23*IF($A$2=1,1,(1-Basis_Foerderung))</f>
        <v>0</v>
      </c>
      <c r="AA23" s="71"/>
      <c r="AB23" s="71"/>
      <c r="AC23" s="22"/>
      <c r="AD23" s="22"/>
      <c r="AE23" s="22"/>
      <c r="AF23" s="22"/>
      <c r="AG23" s="22"/>
      <c r="AH23" s="22"/>
      <c r="AI23" s="22"/>
      <c r="AJ23" s="22"/>
      <c r="AK23" s="22"/>
      <c r="AL23" s="22"/>
      <c r="AM23" s="22"/>
      <c r="AN23" s="22"/>
      <c r="AO23" s="22"/>
      <c r="AP23" s="22"/>
      <c r="AQ23" s="22"/>
      <c r="AR23" s="22"/>
      <c r="AS23" s="22"/>
    </row>
    <row r="24" spans="1:45" ht="21" customHeight="1" x14ac:dyDescent="0.3">
      <c r="A24" s="22"/>
      <c r="B24" s="75"/>
      <c r="C24" s="242" t="str">
        <f>IF(INDEX(Status_Systeme,$A$2)=TRUE,"","B | BAULICHE MASSNAHMEN")</f>
        <v>B | BAULICHE MASSNAHMEN</v>
      </c>
      <c r="D24" s="188"/>
      <c r="E24" s="188"/>
      <c r="F24" s="188"/>
      <c r="G24" s="161"/>
      <c r="H24" s="161"/>
      <c r="I24" s="161"/>
      <c r="J24" s="188"/>
      <c r="K24" s="188"/>
      <c r="L24" s="188"/>
      <c r="M24" s="76"/>
      <c r="N24" s="78"/>
      <c r="O24" s="268"/>
      <c r="P24" s="64"/>
      <c r="Q24" s="22"/>
      <c r="R24" s="71"/>
      <c r="S24" s="71"/>
      <c r="T24" s="71"/>
      <c r="U24" s="71"/>
      <c r="V24" s="71"/>
      <c r="W24" s="71"/>
      <c r="X24" s="71"/>
      <c r="Y24" s="71"/>
      <c r="Z24" s="71"/>
      <c r="AA24" s="71"/>
      <c r="AB24" s="71"/>
      <c r="AC24" s="22"/>
      <c r="AD24" s="22"/>
      <c r="AE24" s="22"/>
      <c r="AF24" s="22"/>
      <c r="AG24" s="22"/>
      <c r="AH24" s="22"/>
      <c r="AI24" s="22"/>
      <c r="AJ24" s="22"/>
      <c r="AK24" s="22"/>
      <c r="AL24" s="22"/>
      <c r="AM24" s="22"/>
      <c r="AN24" s="22"/>
      <c r="AO24" s="22"/>
      <c r="AP24" s="22"/>
      <c r="AQ24" s="22"/>
      <c r="AR24" s="22"/>
      <c r="AS24" s="22"/>
    </row>
    <row r="25" spans="1:45" x14ac:dyDescent="0.3">
      <c r="A25" s="22"/>
      <c r="B25" s="184" t="str">
        <f t="shared" ref="B25:B31" si="1">IF(O25="","","!")</f>
        <v>!</v>
      </c>
      <c r="C25" s="420" t="str">
        <f>IF(INDEX(Status_Systeme,$A$2)=TRUE,"",IF(INDEX(Tabelle_Komponenten,8,5)="","",INDEX(Tabelle_Komponenten,8,5)))</f>
        <v>Anschluss</v>
      </c>
      <c r="D25" s="420"/>
      <c r="E25" s="420"/>
      <c r="F25" s="420"/>
      <c r="G25" s="406"/>
      <c r="H25" s="406"/>
      <c r="I25" s="406"/>
      <c r="J25" s="60">
        <f t="shared" ref="J25:J31" si="2">IF(C25="","",VLOOKUP(C25,Tabelle_Kosten_Komponenten,2,FALSE))</f>
        <v>50</v>
      </c>
      <c r="K25" s="405" t="str">
        <f t="shared" ref="K25" si="3">IF(OR(C25="",G25="",J25=""),"",Z25+W25-Y25)</f>
        <v/>
      </c>
      <c r="L25" s="405"/>
      <c r="M25" s="76"/>
      <c r="N25" s="178" t="str">
        <f t="shared" ref="N25:N31" si="4">IF(O25="","","ï")</f>
        <v>ï</v>
      </c>
      <c r="O25" s="268" t="str">
        <f t="shared" ref="O25:O31" si="5">IF(S25=TRUE,"",IF(LEN(C25)&gt;0,IF(G25="",TBS_Fehler_2,""),IF(G25="","",TBS_Fehler_3)))</f>
        <v>Bitte dieses Feld (roter Bereich = Pflichtfeld) ausfüllen!</v>
      </c>
      <c r="P25" s="272"/>
      <c r="Q25" s="22"/>
      <c r="R25" s="71"/>
      <c r="S25" s="72" t="b">
        <f>ISERROR(FIND("optional",C25))=FALSE</f>
        <v>0</v>
      </c>
      <c r="T25" s="72">
        <f t="shared" ref="T25:T31" si="6">IF((Basis_Betrachtungszeitraum/J25)&lt;=1,0,IF((Basis_Betrachtungszeitraum/J25)&lt;=2,1,2))</f>
        <v>0</v>
      </c>
      <c r="U25" s="326">
        <f t="shared" ref="U25:U31" si="7">IF(T25&lt;1,0,G25*IF($A$2=1,1,(1-Basis_Foerderung))*(1+Basis_Preisentwicklung_Produkte)^J25)</f>
        <v>0</v>
      </c>
      <c r="V25" s="326">
        <f t="shared" ref="V25:V31" si="8">IF(T25&gt;1,G25*IF($A$2=1,1,(1-Basis_Foerderung))*(1+Basis_Preisentwicklung_Produkte)^(2*J25),0)</f>
        <v>0</v>
      </c>
      <c r="W25" s="326">
        <f t="shared" ref="W25:W31" si="9">U25*(1/(1+Basis_Realzins))^J25+V25*(1/(1+Basis_Realzins))^(2*J25)</f>
        <v>0</v>
      </c>
      <c r="X25" s="73">
        <f t="shared" ref="X25:X31" si="10">IF((INT(Basis_Betrachtungszeitraum/J25)=Basis_Betrachtungszeitraum/J25),1,(J25*(T25+1)-Basis_Betrachtungszeitraum)/J25)</f>
        <v>0.6</v>
      </c>
      <c r="Y25" s="326">
        <f t="shared" ref="Y25:Y31" si="11">IF(X25=1,0,IF(T25=0,G25*IF($A$2=1,1,(1-Basis_Foerderung)),INDEX(U25:V25,1,T25))*Basis_Diskontsatz*X25)</f>
        <v>0</v>
      </c>
      <c r="Z25" s="326">
        <f t="shared" ref="Z25:Z31" si="12">G25*IF($A$2=1,1,(1-Basis_Foerderung))</f>
        <v>0</v>
      </c>
      <c r="AA25" s="71"/>
      <c r="AB25" s="71"/>
      <c r="AC25" s="22"/>
      <c r="AD25" s="22"/>
      <c r="AE25" s="22"/>
      <c r="AF25" s="22"/>
      <c r="AG25" s="22"/>
      <c r="AH25" s="22"/>
      <c r="AI25" s="22"/>
      <c r="AJ25" s="22"/>
      <c r="AK25" s="22"/>
      <c r="AL25" s="22"/>
      <c r="AM25" s="22"/>
      <c r="AN25" s="22"/>
      <c r="AO25" s="22"/>
      <c r="AP25" s="22"/>
      <c r="AQ25" s="22"/>
      <c r="AR25" s="22"/>
      <c r="AS25" s="22"/>
    </row>
    <row r="26" spans="1:45" x14ac:dyDescent="0.3">
      <c r="A26" s="22"/>
      <c r="B26" s="184" t="str">
        <f t="shared" si="1"/>
        <v/>
      </c>
      <c r="C26" s="414" t="str">
        <f>IF(INDEX(Status_Systeme,$A$2)=TRUE,"",IF(INDEX(Tabelle_Komponenten,9,5)="","",INDEX(Tabelle_Komponenten,9,5)))</f>
        <v/>
      </c>
      <c r="D26" s="414"/>
      <c r="E26" s="414"/>
      <c r="F26" s="414"/>
      <c r="G26" s="406"/>
      <c r="H26" s="406"/>
      <c r="I26" s="406"/>
      <c r="J26" s="60" t="str">
        <f t="shared" si="2"/>
        <v/>
      </c>
      <c r="K26" s="405" t="str">
        <f t="shared" ref="K26:K31" si="13">IF(OR(C26="",G26="",J26=""),"",Z26+W26-Y26)</f>
        <v/>
      </c>
      <c r="L26" s="405"/>
      <c r="M26" s="76"/>
      <c r="N26" s="178" t="str">
        <f t="shared" si="4"/>
        <v/>
      </c>
      <c r="O26" s="268" t="str">
        <f t="shared" si="5"/>
        <v/>
      </c>
      <c r="P26" s="65"/>
      <c r="Q26" s="22"/>
      <c r="R26" s="71"/>
      <c r="S26" s="72" t="b">
        <f>ISERROR(FIND("optional",C26))=FALSE</f>
        <v>0</v>
      </c>
      <c r="T26" s="72" t="e">
        <f t="shared" si="6"/>
        <v>#VALUE!</v>
      </c>
      <c r="U26" s="326" t="e">
        <f t="shared" si="7"/>
        <v>#VALUE!</v>
      </c>
      <c r="V26" s="326" t="e">
        <f t="shared" si="8"/>
        <v>#VALUE!</v>
      </c>
      <c r="W26" s="326" t="e">
        <f t="shared" si="9"/>
        <v>#VALUE!</v>
      </c>
      <c r="X26" s="73" t="e">
        <f t="shared" si="10"/>
        <v>#VALUE!</v>
      </c>
      <c r="Y26" s="326" t="e">
        <f t="shared" si="11"/>
        <v>#VALUE!</v>
      </c>
      <c r="Z26" s="326">
        <f t="shared" si="12"/>
        <v>0</v>
      </c>
      <c r="AA26" s="71"/>
      <c r="AB26" s="71"/>
      <c r="AC26" s="22"/>
      <c r="AD26" s="22"/>
      <c r="AE26" s="22"/>
      <c r="AF26" s="22"/>
      <c r="AG26" s="22"/>
      <c r="AH26" s="22"/>
      <c r="AI26" s="22"/>
      <c r="AJ26" s="22"/>
      <c r="AK26" s="22"/>
      <c r="AL26" s="22"/>
      <c r="AM26" s="22"/>
      <c r="AN26" s="22"/>
      <c r="AO26" s="22"/>
      <c r="AP26" s="22"/>
      <c r="AQ26" s="22"/>
      <c r="AR26" s="22"/>
      <c r="AS26" s="22"/>
    </row>
    <row r="27" spans="1:45" x14ac:dyDescent="0.3">
      <c r="A27" s="22"/>
      <c r="B27" s="184" t="str">
        <f t="shared" si="1"/>
        <v/>
      </c>
      <c r="C27" s="414" t="str">
        <f>IF(INDEX(Status_Systeme,$A$2)=TRUE,"",IF(INDEX(Tabelle_Komponenten,10,5)="","",INDEX(Tabelle_Komponenten,10,5)))</f>
        <v/>
      </c>
      <c r="D27" s="414"/>
      <c r="E27" s="414"/>
      <c r="F27" s="414"/>
      <c r="G27" s="406"/>
      <c r="H27" s="406"/>
      <c r="I27" s="406"/>
      <c r="J27" s="60" t="str">
        <f t="shared" si="2"/>
        <v/>
      </c>
      <c r="K27" s="405" t="str">
        <f t="shared" si="13"/>
        <v/>
      </c>
      <c r="L27" s="405"/>
      <c r="M27" s="76"/>
      <c r="N27" s="178" t="str">
        <f t="shared" si="4"/>
        <v/>
      </c>
      <c r="O27" s="268" t="str">
        <f t="shared" si="5"/>
        <v/>
      </c>
      <c r="P27" s="22"/>
      <c r="Q27" s="22"/>
      <c r="R27" s="71"/>
      <c r="S27" s="72" t="b">
        <f>ISERROR(FIND("optional",C27))=FALSE</f>
        <v>0</v>
      </c>
      <c r="T27" s="72" t="e">
        <f t="shared" si="6"/>
        <v>#VALUE!</v>
      </c>
      <c r="U27" s="326" t="e">
        <f t="shared" si="7"/>
        <v>#VALUE!</v>
      </c>
      <c r="V27" s="326" t="e">
        <f t="shared" si="8"/>
        <v>#VALUE!</v>
      </c>
      <c r="W27" s="326" t="e">
        <f t="shared" si="9"/>
        <v>#VALUE!</v>
      </c>
      <c r="X27" s="73" t="e">
        <f t="shared" si="10"/>
        <v>#VALUE!</v>
      </c>
      <c r="Y27" s="326" t="e">
        <f t="shared" si="11"/>
        <v>#VALUE!</v>
      </c>
      <c r="Z27" s="326">
        <f t="shared" si="12"/>
        <v>0</v>
      </c>
      <c r="AA27" s="71"/>
      <c r="AB27" s="71"/>
      <c r="AC27" s="22"/>
      <c r="AD27" s="22"/>
      <c r="AE27" s="22"/>
      <c r="AF27" s="22"/>
      <c r="AG27" s="22"/>
      <c r="AH27" s="22"/>
      <c r="AI27" s="22"/>
      <c r="AJ27" s="22"/>
      <c r="AK27" s="22"/>
      <c r="AL27" s="22"/>
      <c r="AM27" s="22"/>
      <c r="AN27" s="22"/>
      <c r="AO27" s="22"/>
      <c r="AP27" s="22"/>
      <c r="AQ27" s="22"/>
      <c r="AR27" s="22"/>
      <c r="AS27" s="22"/>
    </row>
    <row r="28" spans="1:45" x14ac:dyDescent="0.3">
      <c r="A28" s="22"/>
      <c r="B28" s="184" t="str">
        <f t="shared" si="1"/>
        <v/>
      </c>
      <c r="C28" s="414" t="str">
        <f>IF(INDEX(Status_Systeme,$A$2)=TRUE,"",IF(INDEX(Tabelle_Komponenten,11,5)="","",INDEX(Tabelle_Komponenten,11,5)))</f>
        <v/>
      </c>
      <c r="D28" s="414"/>
      <c r="E28" s="414"/>
      <c r="F28" s="414"/>
      <c r="G28" s="406"/>
      <c r="H28" s="406"/>
      <c r="I28" s="406"/>
      <c r="J28" s="60" t="str">
        <f t="shared" si="2"/>
        <v/>
      </c>
      <c r="K28" s="405" t="str">
        <f t="shared" si="13"/>
        <v/>
      </c>
      <c r="L28" s="405"/>
      <c r="M28" s="76"/>
      <c r="N28" s="178" t="str">
        <f t="shared" si="4"/>
        <v/>
      </c>
      <c r="O28" s="268" t="str">
        <f t="shared" si="5"/>
        <v/>
      </c>
      <c r="P28" s="22"/>
      <c r="Q28" s="22"/>
      <c r="R28" s="71"/>
      <c r="S28" s="72" t="b">
        <f>ISERROR(FIND("optional",C28))=FALSE</f>
        <v>0</v>
      </c>
      <c r="T28" s="72" t="e">
        <f t="shared" si="6"/>
        <v>#VALUE!</v>
      </c>
      <c r="U28" s="326" t="e">
        <f t="shared" si="7"/>
        <v>#VALUE!</v>
      </c>
      <c r="V28" s="326" t="e">
        <f t="shared" si="8"/>
        <v>#VALUE!</v>
      </c>
      <c r="W28" s="326" t="e">
        <f t="shared" si="9"/>
        <v>#VALUE!</v>
      </c>
      <c r="X28" s="73" t="e">
        <f t="shared" si="10"/>
        <v>#VALUE!</v>
      </c>
      <c r="Y28" s="326" t="e">
        <f t="shared" si="11"/>
        <v>#VALUE!</v>
      </c>
      <c r="Z28" s="326">
        <f t="shared" si="12"/>
        <v>0</v>
      </c>
      <c r="AA28" s="71"/>
      <c r="AB28" s="71"/>
      <c r="AC28" s="22"/>
      <c r="AD28" s="22"/>
      <c r="AE28" s="22"/>
      <c r="AF28" s="22"/>
      <c r="AG28" s="22"/>
      <c r="AH28" s="22"/>
      <c r="AI28" s="22"/>
      <c r="AJ28" s="22"/>
      <c r="AK28" s="22"/>
      <c r="AL28" s="22"/>
      <c r="AM28" s="22"/>
      <c r="AN28" s="22"/>
      <c r="AO28" s="22"/>
      <c r="AP28" s="22"/>
      <c r="AQ28" s="22"/>
      <c r="AR28" s="22"/>
      <c r="AS28" s="22"/>
    </row>
    <row r="29" spans="1:45" x14ac:dyDescent="0.3">
      <c r="A29" s="22"/>
      <c r="B29" s="184" t="str">
        <f t="shared" si="1"/>
        <v/>
      </c>
      <c r="C29" s="414" t="str">
        <f>IF(INDEX(Status_Systeme,$A$2)=TRUE,"",IF(INDEX(Tabelle_Komponenten,12,5)="","",INDEX(Tabelle_Komponenten,12,5)))</f>
        <v/>
      </c>
      <c r="D29" s="414"/>
      <c r="E29" s="414"/>
      <c r="F29" s="414"/>
      <c r="G29" s="406"/>
      <c r="H29" s="406"/>
      <c r="I29" s="406"/>
      <c r="J29" s="60" t="str">
        <f t="shared" si="2"/>
        <v/>
      </c>
      <c r="K29" s="405" t="str">
        <f t="shared" si="13"/>
        <v/>
      </c>
      <c r="L29" s="405"/>
      <c r="M29" s="76"/>
      <c r="N29" s="178" t="str">
        <f t="shared" si="4"/>
        <v/>
      </c>
      <c r="O29" s="268" t="str">
        <f t="shared" si="5"/>
        <v/>
      </c>
      <c r="P29" s="22"/>
      <c r="Q29" s="22"/>
      <c r="R29" s="71"/>
      <c r="S29" s="72" t="b">
        <f>ISERROR(FIND("optional",C29))=FALSE</f>
        <v>0</v>
      </c>
      <c r="T29" s="72" t="e">
        <f t="shared" si="6"/>
        <v>#VALUE!</v>
      </c>
      <c r="U29" s="326" t="e">
        <f t="shared" si="7"/>
        <v>#VALUE!</v>
      </c>
      <c r="V29" s="326" t="e">
        <f t="shared" si="8"/>
        <v>#VALUE!</v>
      </c>
      <c r="W29" s="326" t="e">
        <f t="shared" si="9"/>
        <v>#VALUE!</v>
      </c>
      <c r="X29" s="73" t="e">
        <f t="shared" si="10"/>
        <v>#VALUE!</v>
      </c>
      <c r="Y29" s="326" t="e">
        <f t="shared" si="11"/>
        <v>#VALUE!</v>
      </c>
      <c r="Z29" s="326">
        <f t="shared" si="12"/>
        <v>0</v>
      </c>
      <c r="AA29" s="71"/>
      <c r="AB29" s="71"/>
      <c r="AC29" s="22"/>
      <c r="AD29" s="22"/>
      <c r="AE29" s="22"/>
      <c r="AF29" s="22"/>
      <c r="AG29" s="22"/>
      <c r="AH29" s="22"/>
      <c r="AI29" s="22"/>
      <c r="AJ29" s="22"/>
      <c r="AK29" s="22"/>
      <c r="AL29" s="22"/>
      <c r="AM29" s="22"/>
      <c r="AN29" s="22"/>
      <c r="AO29" s="22"/>
      <c r="AP29" s="22"/>
      <c r="AQ29" s="22"/>
      <c r="AR29" s="22"/>
      <c r="AS29" s="22"/>
    </row>
    <row r="30" spans="1:45" x14ac:dyDescent="0.3">
      <c r="A30" s="22"/>
      <c r="B30" s="184" t="str">
        <f t="shared" si="1"/>
        <v/>
      </c>
      <c r="C30" s="414" t="str">
        <f>IF(INDEX(Status_Systeme,$A$2)=TRUE,"",IF(INDEX(Tabelle_Komponenten,5,5)="","",INDEX(Tabelle_Komponenten,5,5)))</f>
        <v/>
      </c>
      <c r="D30" s="414"/>
      <c r="E30" s="414"/>
      <c r="F30" s="414"/>
      <c r="G30" s="406"/>
      <c r="H30" s="406"/>
      <c r="I30" s="406"/>
      <c r="J30" s="60" t="str">
        <f t="shared" si="2"/>
        <v/>
      </c>
      <c r="K30" s="405" t="str">
        <f t="shared" si="13"/>
        <v/>
      </c>
      <c r="L30" s="405"/>
      <c r="M30" s="76"/>
      <c r="N30" s="178" t="str">
        <f t="shared" si="4"/>
        <v/>
      </c>
      <c r="O30" s="268" t="str">
        <f t="shared" si="5"/>
        <v/>
      </c>
      <c r="P30" s="22"/>
      <c r="Q30" s="22"/>
      <c r="R30" s="71"/>
      <c r="S30" s="72" t="b">
        <f t="shared" ref="S30:S31" si="14">ISERROR(FIND("optional",C30))=FALSE</f>
        <v>0</v>
      </c>
      <c r="T30" s="72" t="e">
        <f t="shared" si="6"/>
        <v>#VALUE!</v>
      </c>
      <c r="U30" s="326" t="e">
        <f t="shared" si="7"/>
        <v>#VALUE!</v>
      </c>
      <c r="V30" s="326" t="e">
        <f t="shared" si="8"/>
        <v>#VALUE!</v>
      </c>
      <c r="W30" s="326" t="e">
        <f t="shared" si="9"/>
        <v>#VALUE!</v>
      </c>
      <c r="X30" s="73" t="e">
        <f t="shared" si="10"/>
        <v>#VALUE!</v>
      </c>
      <c r="Y30" s="326" t="e">
        <f t="shared" si="11"/>
        <v>#VALUE!</v>
      </c>
      <c r="Z30" s="326">
        <f t="shared" si="12"/>
        <v>0</v>
      </c>
      <c r="AA30" s="71"/>
      <c r="AB30" s="71"/>
      <c r="AC30" s="22"/>
      <c r="AD30" s="22"/>
      <c r="AE30" s="22"/>
      <c r="AF30" s="22"/>
      <c r="AG30" s="22"/>
      <c r="AH30" s="22"/>
      <c r="AI30" s="22"/>
      <c r="AJ30" s="22"/>
      <c r="AK30" s="22"/>
      <c r="AL30" s="22"/>
      <c r="AM30" s="22"/>
      <c r="AN30" s="22"/>
      <c r="AO30" s="22"/>
      <c r="AP30" s="22"/>
      <c r="AQ30" s="22"/>
      <c r="AR30" s="22"/>
      <c r="AS30" s="22"/>
    </row>
    <row r="31" spans="1:45" x14ac:dyDescent="0.3">
      <c r="A31" s="22"/>
      <c r="B31" s="184" t="str">
        <f t="shared" si="1"/>
        <v/>
      </c>
      <c r="C31" s="414" t="str">
        <f>IF(INDEX(Status_Systeme,$A$2)=TRUE,"",IF(INDEX(Tabelle_Komponenten,6,5)="","",INDEX(Tabelle_Komponenten,6,5)))</f>
        <v/>
      </c>
      <c r="D31" s="414"/>
      <c r="E31" s="414"/>
      <c r="F31" s="414"/>
      <c r="G31" s="406"/>
      <c r="H31" s="406"/>
      <c r="I31" s="406"/>
      <c r="J31" s="60" t="str">
        <f t="shared" si="2"/>
        <v/>
      </c>
      <c r="K31" s="405" t="str">
        <f t="shared" si="13"/>
        <v/>
      </c>
      <c r="L31" s="405"/>
      <c r="M31" s="76"/>
      <c r="N31" s="178" t="str">
        <f t="shared" si="4"/>
        <v/>
      </c>
      <c r="O31" s="268" t="str">
        <f t="shared" si="5"/>
        <v/>
      </c>
      <c r="P31" s="22"/>
      <c r="Q31" s="22"/>
      <c r="R31" s="71"/>
      <c r="S31" s="72" t="b">
        <f t="shared" si="14"/>
        <v>0</v>
      </c>
      <c r="T31" s="72" t="e">
        <f t="shared" si="6"/>
        <v>#VALUE!</v>
      </c>
      <c r="U31" s="326" t="e">
        <f t="shared" si="7"/>
        <v>#VALUE!</v>
      </c>
      <c r="V31" s="326" t="e">
        <f t="shared" si="8"/>
        <v>#VALUE!</v>
      </c>
      <c r="W31" s="326" t="e">
        <f t="shared" si="9"/>
        <v>#VALUE!</v>
      </c>
      <c r="X31" s="73" t="e">
        <f t="shared" si="10"/>
        <v>#VALUE!</v>
      </c>
      <c r="Y31" s="326" t="e">
        <f t="shared" si="11"/>
        <v>#VALUE!</v>
      </c>
      <c r="Z31" s="326">
        <f t="shared" si="12"/>
        <v>0</v>
      </c>
      <c r="AA31" s="71"/>
      <c r="AB31" s="71"/>
      <c r="AC31" s="22"/>
      <c r="AD31" s="22"/>
      <c r="AE31" s="22"/>
      <c r="AF31" s="22"/>
      <c r="AG31" s="22"/>
      <c r="AH31" s="22"/>
      <c r="AI31" s="22"/>
      <c r="AJ31" s="22"/>
      <c r="AK31" s="22"/>
      <c r="AL31" s="22"/>
      <c r="AM31" s="22"/>
      <c r="AN31" s="22"/>
      <c r="AO31" s="22"/>
      <c r="AP31" s="22"/>
      <c r="AQ31" s="22"/>
      <c r="AR31" s="22"/>
      <c r="AS31" s="22"/>
    </row>
    <row r="32" spans="1:45" ht="21" customHeight="1" x14ac:dyDescent="0.3">
      <c r="A32" s="22"/>
      <c r="B32" s="75"/>
      <c r="C32" s="242" t="str">
        <f>IF(INDEX(Status_Systeme,$A$2)=TRUE,"","C | FREIE EINGABE")</f>
        <v>C | FREIE EINGABE</v>
      </c>
      <c r="D32" s="188"/>
      <c r="E32" s="188"/>
      <c r="F32" s="188"/>
      <c r="G32" s="161"/>
      <c r="H32" s="161"/>
      <c r="I32" s="161"/>
      <c r="J32" s="188"/>
      <c r="K32" s="188"/>
      <c r="L32" s="188"/>
      <c r="M32" s="76"/>
      <c r="N32" s="78"/>
      <c r="O32" s="30"/>
      <c r="P32" s="22"/>
      <c r="Q32" s="22"/>
      <c r="R32" s="71"/>
      <c r="S32" s="71"/>
      <c r="T32" s="71"/>
      <c r="U32" s="71"/>
      <c r="V32" s="71"/>
      <c r="W32" s="71"/>
      <c r="X32" s="71"/>
      <c r="Y32" s="71"/>
      <c r="Z32" s="71"/>
      <c r="AA32" s="71"/>
      <c r="AB32" s="71"/>
      <c r="AC32" s="22"/>
      <c r="AD32" s="22"/>
      <c r="AE32" s="22"/>
      <c r="AF32" s="22"/>
      <c r="AG32" s="22"/>
      <c r="AH32" s="22"/>
      <c r="AI32" s="22"/>
      <c r="AJ32" s="22"/>
      <c r="AK32" s="22"/>
      <c r="AL32" s="22"/>
      <c r="AM32" s="22"/>
      <c r="AN32" s="22"/>
      <c r="AO32" s="22"/>
      <c r="AP32" s="22"/>
      <c r="AQ32" s="22"/>
      <c r="AR32" s="22"/>
      <c r="AS32" s="22"/>
    </row>
    <row r="33" spans="1:45" x14ac:dyDescent="0.3">
      <c r="A33" s="22"/>
      <c r="B33" s="184" t="str">
        <f>IF(O33="","","!")</f>
        <v/>
      </c>
      <c r="C33" s="422"/>
      <c r="D33" s="422"/>
      <c r="E33" s="422"/>
      <c r="F33" s="422"/>
      <c r="G33" s="406"/>
      <c r="H33" s="406"/>
      <c r="I33" s="406"/>
      <c r="J33" s="191"/>
      <c r="K33" s="405" t="str">
        <f t="shared" ref="K33" si="15">IF(OR(C33="",G33="",J33=""),"",Z33+W33-Y33)</f>
        <v/>
      </c>
      <c r="L33" s="405"/>
      <c r="M33" s="76"/>
      <c r="N33" s="178" t="str">
        <f>IF(O33="","","ï")</f>
        <v/>
      </c>
      <c r="O33" s="221" t="str">
        <f>IF(AND(INDEX(Status_Systeme,$A$2)=TRUE,S33&gt;0),TBS_Fehler_3,IF(OR(S33=0,S33=3),"",TBS_Fehler_2))</f>
        <v/>
      </c>
      <c r="P33" s="22"/>
      <c r="Q33" s="22"/>
      <c r="R33" s="71"/>
      <c r="S33" s="72">
        <f>COUNTA(C33,G33,J33)</f>
        <v>0</v>
      </c>
      <c r="T33" s="72" t="e">
        <f>IF((Basis_Betrachtungszeitraum/J33)&lt;=1,0,IF((Basis_Betrachtungszeitraum/J33)&lt;=2,1,2))</f>
        <v>#DIV/0!</v>
      </c>
      <c r="U33" s="326" t="e">
        <f>IF(T33&lt;1,0,G33*IF($A$2=1,1,(1-Basis_Foerderung))*(1+Basis_Preisentwicklung_Produkte)^J33)</f>
        <v>#DIV/0!</v>
      </c>
      <c r="V33" s="326" t="e">
        <f>IF(T33&gt;1,G33*IF($A$2=1,1,(1-Basis_Foerderung))*(1+Basis_Preisentwicklung_Produkte)^(2*J33),0)</f>
        <v>#DIV/0!</v>
      </c>
      <c r="W33" s="326" t="e">
        <f>U33*(1/(1+Basis_Realzins))^J33+V33*(1/(1+Basis_Realzins))^(2*J33)</f>
        <v>#DIV/0!</v>
      </c>
      <c r="X33" s="73" t="e">
        <f>IF((INT(Basis_Betrachtungszeitraum/J33)=Basis_Betrachtungszeitraum/J33),1,(J33*(T33+1)-Basis_Betrachtungszeitraum)/J33)</f>
        <v>#DIV/0!</v>
      </c>
      <c r="Y33" s="326" t="e">
        <f>IF(X33=1,0,IF(T33=0,G33*IF($A$2=1,1,(1-Basis_Foerderung)),INDEX(U33:V33,1,T33))*Basis_Diskontsatz*X33)</f>
        <v>#DIV/0!</v>
      </c>
      <c r="Z33" s="326">
        <f>G33*IF($A$2=1,1,(1-Basis_Foerderung))</f>
        <v>0</v>
      </c>
      <c r="AA33" s="71"/>
      <c r="AB33" s="71"/>
      <c r="AC33" s="22"/>
      <c r="AD33" s="22"/>
      <c r="AE33" s="22"/>
      <c r="AF33" s="22"/>
      <c r="AG33" s="22"/>
      <c r="AH33" s="22"/>
      <c r="AI33" s="22"/>
      <c r="AJ33" s="22"/>
      <c r="AK33" s="22"/>
      <c r="AL33" s="22"/>
      <c r="AM33" s="22"/>
      <c r="AN33" s="22"/>
      <c r="AO33" s="22"/>
      <c r="AP33" s="22"/>
      <c r="AQ33" s="22"/>
      <c r="AR33" s="22"/>
      <c r="AS33" s="22"/>
    </row>
    <row r="34" spans="1:45" x14ac:dyDescent="0.3">
      <c r="A34" s="22"/>
      <c r="B34" s="184" t="str">
        <f>IF(O34="","","!")</f>
        <v/>
      </c>
      <c r="C34" s="423"/>
      <c r="D34" s="423"/>
      <c r="E34" s="423"/>
      <c r="F34" s="423"/>
      <c r="G34" s="406"/>
      <c r="H34" s="406"/>
      <c r="I34" s="406"/>
      <c r="J34" s="192"/>
      <c r="K34" s="405" t="str">
        <f t="shared" ref="K34:K35" si="16">IF(OR(C34="",G34="",J34=""),"",Z34+W34-Y34)</f>
        <v/>
      </c>
      <c r="L34" s="405"/>
      <c r="M34" s="76"/>
      <c r="N34" s="178" t="str">
        <f>IF(O34="","","ï")</f>
        <v/>
      </c>
      <c r="O34" s="221" t="str">
        <f>IF(AND(INDEX(Status_Systeme,$A$2)=TRUE,S34&gt;0),TBS_Fehler_3,IF(OR(S34=0,S34=3),"",TBS_Fehler_2))</f>
        <v/>
      </c>
      <c r="P34" s="22"/>
      <c r="Q34" s="22"/>
      <c r="R34" s="71"/>
      <c r="S34" s="72">
        <f>COUNTA(C34,G34,J34)</f>
        <v>0</v>
      </c>
      <c r="T34" s="72" t="e">
        <f>IF((Basis_Betrachtungszeitraum/J34)&lt;=1,0,IF((Basis_Betrachtungszeitraum/J34)&lt;=2,1,2))</f>
        <v>#DIV/0!</v>
      </c>
      <c r="U34" s="326" t="e">
        <f>IF(T34&lt;1,0,G34*IF($A$2=1,1,(1-Basis_Foerderung))*(1+Basis_Preisentwicklung_Produkte)^J34)</f>
        <v>#DIV/0!</v>
      </c>
      <c r="V34" s="326" t="e">
        <f>IF(T34&gt;1,G34*IF($A$2=1,1,(1-Basis_Foerderung))*(1+Basis_Preisentwicklung_Produkte)^(2*J34),0)</f>
        <v>#DIV/0!</v>
      </c>
      <c r="W34" s="326" t="e">
        <f>U34*(1/(1+Basis_Realzins))^J34+V34*(1/(1+Basis_Realzins))^(2*J34)</f>
        <v>#DIV/0!</v>
      </c>
      <c r="X34" s="73" t="e">
        <f>IF((INT(Basis_Betrachtungszeitraum/J34)=Basis_Betrachtungszeitraum/J34),1,(J34*(T34+1)-Basis_Betrachtungszeitraum)/J34)</f>
        <v>#DIV/0!</v>
      </c>
      <c r="Y34" s="326" t="e">
        <f>IF(X34=1,0,IF(T34=0,G34*IF($A$2=1,1,(1-Basis_Foerderung)),INDEX(U34:V34,1,T34))*Basis_Diskontsatz*X34)</f>
        <v>#DIV/0!</v>
      </c>
      <c r="Z34" s="326">
        <f>G34*IF($A$2=1,1,(1-Basis_Foerderung))</f>
        <v>0</v>
      </c>
      <c r="AA34" s="71"/>
      <c r="AB34" s="71"/>
      <c r="AC34" s="22"/>
      <c r="AD34" s="22"/>
      <c r="AE34" s="22"/>
      <c r="AF34" s="22"/>
      <c r="AG34" s="22"/>
      <c r="AH34" s="22"/>
      <c r="AI34" s="22"/>
      <c r="AJ34" s="22"/>
      <c r="AK34" s="22"/>
      <c r="AL34" s="22"/>
      <c r="AM34" s="22"/>
      <c r="AN34" s="22"/>
      <c r="AO34" s="22"/>
      <c r="AP34" s="22"/>
      <c r="AQ34" s="22"/>
      <c r="AR34" s="22"/>
      <c r="AS34" s="22"/>
    </row>
    <row r="35" spans="1:45" x14ac:dyDescent="0.3">
      <c r="A35" s="22"/>
      <c r="B35" s="184" t="str">
        <f>IF(O35="","","!")</f>
        <v/>
      </c>
      <c r="C35" s="423"/>
      <c r="D35" s="423"/>
      <c r="E35" s="423"/>
      <c r="F35" s="423"/>
      <c r="G35" s="406"/>
      <c r="H35" s="406"/>
      <c r="I35" s="406"/>
      <c r="J35" s="192"/>
      <c r="K35" s="405" t="str">
        <f t="shared" si="16"/>
        <v/>
      </c>
      <c r="L35" s="405"/>
      <c r="M35" s="76"/>
      <c r="N35" s="178" t="str">
        <f>IF(O35="","","ï")</f>
        <v/>
      </c>
      <c r="O35" s="221" t="str">
        <f>IF(AND(INDEX(Status_Systeme,$A$2)=TRUE,S35&gt;0),TBS_Fehler_3,IF(OR(S35=0,S35=3),"",TBS_Fehler_2))</f>
        <v/>
      </c>
      <c r="P35" s="22"/>
      <c r="Q35" s="22"/>
      <c r="R35" s="71"/>
      <c r="S35" s="72">
        <f>COUNTA(C35,G35,J35)</f>
        <v>0</v>
      </c>
      <c r="T35" s="72" t="e">
        <f>IF((Basis_Betrachtungszeitraum/J35)&lt;=1,0,IF((Basis_Betrachtungszeitraum/J35)&lt;=2,1,2))</f>
        <v>#DIV/0!</v>
      </c>
      <c r="U35" s="326" t="e">
        <f>IF(T35&lt;1,0,G35*IF($A$2=1,1,(1-Basis_Foerderung))*(1+Basis_Preisentwicklung_Produkte)^J35)</f>
        <v>#DIV/0!</v>
      </c>
      <c r="V35" s="326" t="e">
        <f>IF(T35&gt;1,G35*IF($A$2=1,1,(1-Basis_Foerderung))*(1+Basis_Preisentwicklung_Produkte)^(2*J35),0)</f>
        <v>#DIV/0!</v>
      </c>
      <c r="W35" s="326" t="e">
        <f>U35*(1/(1+Basis_Realzins))^J35+V35*(1/(1+Basis_Realzins))^(2*J35)</f>
        <v>#DIV/0!</v>
      </c>
      <c r="X35" s="73" t="e">
        <f>IF((INT(Basis_Betrachtungszeitraum/J35)=Basis_Betrachtungszeitraum/J35),1,(J35*(T35+1)-Basis_Betrachtungszeitraum)/J35)</f>
        <v>#DIV/0!</v>
      </c>
      <c r="Y35" s="326" t="e">
        <f>IF(X35=1,0,IF(T35=0,G35*IF($A$2=1,1,(1-Basis_Foerderung)),INDEX(U35:V35,1,T35))*Basis_Diskontsatz*X35)</f>
        <v>#DIV/0!</v>
      </c>
      <c r="Z35" s="326">
        <f>G35*IF($A$2=1,1,(1-Basis_Foerderung))</f>
        <v>0</v>
      </c>
      <c r="AA35" s="71"/>
      <c r="AB35" s="71"/>
      <c r="AC35" s="22"/>
      <c r="AD35" s="22"/>
      <c r="AE35" s="22"/>
      <c r="AF35" s="22"/>
      <c r="AG35" s="22"/>
      <c r="AH35" s="22"/>
      <c r="AI35" s="22"/>
      <c r="AJ35" s="22"/>
      <c r="AK35" s="22"/>
      <c r="AL35" s="22"/>
      <c r="AM35" s="22"/>
      <c r="AN35" s="22"/>
      <c r="AO35" s="22"/>
      <c r="AP35" s="22"/>
      <c r="AQ35" s="22"/>
      <c r="AR35" s="22"/>
      <c r="AS35" s="22"/>
    </row>
    <row r="36" spans="1:45" ht="21" customHeight="1" x14ac:dyDescent="0.3">
      <c r="A36" s="22"/>
      <c r="B36" s="75"/>
      <c r="C36" s="242" t="str">
        <f>IF(INDEX(Status_Systeme,$A$2)=TRUE,"","D | SUMME")</f>
        <v>D | SUMME</v>
      </c>
      <c r="D36" s="188"/>
      <c r="E36" s="188"/>
      <c r="F36" s="188"/>
      <c r="G36" s="161"/>
      <c r="H36" s="161"/>
      <c r="I36" s="161"/>
      <c r="J36" s="188"/>
      <c r="K36" s="412" t="str">
        <f>IF(INDEX(Status_Systeme,$A$2)=TRUE,"",IF(SUM(K20:L35)=0,"",SUM(K20:L35)))</f>
        <v/>
      </c>
      <c r="L36" s="413"/>
      <c r="M36" s="76"/>
      <c r="N36" s="78"/>
      <c r="O36" s="30"/>
      <c r="P36" s="22"/>
      <c r="Q36" s="22"/>
      <c r="R36" s="71"/>
      <c r="S36" s="71"/>
      <c r="T36" s="71"/>
      <c r="U36" s="71"/>
      <c r="V36" s="71"/>
      <c r="W36" s="71"/>
      <c r="X36" s="71"/>
      <c r="Y36" s="71"/>
      <c r="Z36" s="71"/>
      <c r="AA36" s="71"/>
      <c r="AB36" s="71"/>
      <c r="AC36" s="22"/>
      <c r="AD36" s="22"/>
      <c r="AE36" s="22"/>
      <c r="AF36" s="22"/>
      <c r="AG36" s="22"/>
      <c r="AH36" s="22"/>
      <c r="AI36" s="22"/>
      <c r="AJ36" s="22"/>
      <c r="AK36" s="22"/>
      <c r="AL36" s="22"/>
      <c r="AM36" s="22"/>
      <c r="AN36" s="22"/>
      <c r="AO36" s="22"/>
      <c r="AP36" s="22"/>
      <c r="AQ36" s="22"/>
      <c r="AR36" s="22"/>
      <c r="AS36" s="22"/>
    </row>
    <row r="37" spans="1:45" ht="30" customHeight="1" x14ac:dyDescent="0.3">
      <c r="A37" s="22"/>
      <c r="B37" s="75"/>
      <c r="C37" s="424"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24"/>
      <c r="E37" s="424"/>
      <c r="F37" s="424"/>
      <c r="G37" s="424"/>
      <c r="H37" s="424"/>
      <c r="I37" s="424"/>
      <c r="J37" s="424"/>
      <c r="K37" s="424"/>
      <c r="L37" s="424"/>
      <c r="M37" s="76"/>
      <c r="N37" s="78"/>
      <c r="O37" s="30"/>
      <c r="P37" s="22"/>
      <c r="Q37" s="22"/>
      <c r="R37" s="71"/>
      <c r="S37" s="71"/>
      <c r="T37" s="71"/>
      <c r="U37" s="71"/>
      <c r="V37" s="71"/>
      <c r="W37" s="71"/>
      <c r="X37" s="71"/>
      <c r="Y37" s="71"/>
      <c r="Z37" s="71"/>
      <c r="AA37" s="71"/>
      <c r="AB37" s="71"/>
      <c r="AC37" s="22"/>
      <c r="AD37" s="22"/>
      <c r="AE37" s="22"/>
      <c r="AF37" s="22"/>
      <c r="AG37" s="22"/>
      <c r="AH37" s="22"/>
      <c r="AI37" s="22"/>
      <c r="AJ37" s="22"/>
      <c r="AK37" s="22"/>
      <c r="AL37" s="22"/>
      <c r="AM37" s="22"/>
      <c r="AN37" s="22"/>
      <c r="AO37" s="22"/>
      <c r="AP37" s="22"/>
      <c r="AQ37" s="22"/>
      <c r="AR37" s="22"/>
      <c r="AS37" s="22"/>
    </row>
    <row r="38" spans="1:45" ht="16.5" customHeight="1" x14ac:dyDescent="0.3">
      <c r="A38" s="22"/>
      <c r="B38" s="75"/>
      <c r="C38" s="415" t="str">
        <f>IF(INDEX(Status_Systeme,$A$2)=TRUE,"",$A$2&amp;".3 "&amp;UPPER(INDEX(Auswahl!$P$2:$P$6,3)))</f>
        <v>3.3 BETRIEBSKOSTEN</v>
      </c>
      <c r="D38" s="415"/>
      <c r="E38" s="415"/>
      <c r="F38" s="415"/>
      <c r="G38" s="160"/>
      <c r="H38" s="160"/>
      <c r="I38" s="160"/>
      <c r="J38" s="410" t="str">
        <f>IF(INDEX(Status_Systeme,$A$2)=TRUE,"","laufende Kosten"&amp;IF(C41="","","²")&amp;" [€/a]")</f>
        <v>laufende Kosten [€/a]</v>
      </c>
      <c r="K38" s="408" t="str">
        <f>IF(INDEX(Status_Systeme,$A$2)=TRUE,"","Gesamtkosten"&amp;CHAR(2)&amp;CHAR(10)&amp;"nach "&amp;Basis_Betrachtungszeitraum&amp;"a [€]"&amp;CHAR(2))</f>
        <v>Gesamtkosten_x0002_
nach 20a [€]_x0002_</v>
      </c>
      <c r="L38" s="408"/>
      <c r="M38" s="76"/>
      <c r="N38" s="78"/>
      <c r="O38" s="30"/>
      <c r="P38" s="22"/>
      <c r="Q38" s="22"/>
      <c r="R38" s="71"/>
      <c r="S38" s="71"/>
      <c r="T38" s="71"/>
      <c r="U38" s="128"/>
      <c r="V38" s="128"/>
      <c r="W38" s="71"/>
      <c r="X38" s="71"/>
      <c r="Y38" s="71"/>
      <c r="Z38" s="71"/>
      <c r="AA38" s="71"/>
      <c r="AB38" s="71"/>
      <c r="AC38" s="22"/>
      <c r="AD38" s="22"/>
      <c r="AE38" s="22"/>
      <c r="AF38" s="22"/>
      <c r="AG38" s="22"/>
      <c r="AH38" s="22"/>
      <c r="AI38" s="22"/>
      <c r="AJ38" s="22"/>
      <c r="AK38" s="22"/>
      <c r="AL38" s="22"/>
      <c r="AM38" s="22"/>
      <c r="AN38" s="22"/>
      <c r="AO38" s="22"/>
      <c r="AP38" s="22"/>
      <c r="AQ38" s="22"/>
      <c r="AR38" s="22"/>
      <c r="AS38" s="22"/>
    </row>
    <row r="39" spans="1:45" ht="21" customHeight="1" x14ac:dyDescent="0.3">
      <c r="A39" s="22"/>
      <c r="B39" s="75"/>
      <c r="C39" s="416"/>
      <c r="D39" s="416"/>
      <c r="E39" s="416"/>
      <c r="F39" s="416"/>
      <c r="G39" s="417"/>
      <c r="H39" s="417"/>
      <c r="I39" s="417"/>
      <c r="J39" s="411"/>
      <c r="K39" s="409"/>
      <c r="L39" s="409"/>
      <c r="M39" s="76"/>
      <c r="N39" s="78"/>
      <c r="O39" s="30"/>
      <c r="P39" s="22"/>
      <c r="Q39" s="22"/>
      <c r="R39" s="71"/>
      <c r="S39" s="71"/>
      <c r="T39" s="71"/>
      <c r="U39" s="128"/>
      <c r="V39" s="128"/>
      <c r="W39" s="71"/>
      <c r="X39" s="71"/>
      <c r="Y39" s="71"/>
      <c r="Z39" s="71"/>
      <c r="AA39" s="71"/>
      <c r="AB39" s="71"/>
      <c r="AC39" s="22"/>
      <c r="AD39" s="22"/>
      <c r="AE39" s="22"/>
      <c r="AF39" s="22"/>
      <c r="AG39" s="22"/>
      <c r="AH39" s="22"/>
      <c r="AI39" s="22"/>
      <c r="AJ39" s="22"/>
      <c r="AK39" s="22"/>
      <c r="AL39" s="22"/>
      <c r="AM39" s="22"/>
      <c r="AN39" s="22"/>
      <c r="AO39" s="22"/>
      <c r="AP39" s="22"/>
      <c r="AQ39" s="22"/>
      <c r="AR39" s="22"/>
      <c r="AS39" s="22"/>
    </row>
    <row r="40" spans="1:45" x14ac:dyDescent="0.3">
      <c r="A40" s="22"/>
      <c r="B40" s="75"/>
      <c r="C40" s="420" t="str">
        <f>IF(INDEX(Status_Systeme,$A$2)=TRUE,"","Wartung und Instandhaltung")</f>
        <v>Wartung und Instandhaltung</v>
      </c>
      <c r="D40" s="420"/>
      <c r="E40" s="420"/>
      <c r="F40" s="420"/>
      <c r="G40" s="421"/>
      <c r="H40" s="421"/>
      <c r="I40" s="421"/>
      <c r="J40" s="256" t="str">
        <f>IF(INDEX(Status_Systeme,$A$2)=TRUE,"",INDEX(Basis_BK_calc,$A$2))</f>
        <v>---</v>
      </c>
      <c r="K40" s="405" t="e">
        <f>IF(J40="","",J40*Basis_Barwertfaktor*Basis_Barwertfaktor_Instandhaltung)</f>
        <v>#VALUE!</v>
      </c>
      <c r="L40" s="405"/>
      <c r="M40" s="76"/>
      <c r="N40" s="78"/>
      <c r="O40" s="30"/>
      <c r="P40" s="55"/>
      <c r="Q40" s="55"/>
      <c r="R40" s="71"/>
      <c r="S40" s="106"/>
      <c r="T40" s="71"/>
      <c r="U40" s="128"/>
      <c r="V40" s="128"/>
      <c r="W40" s="71"/>
      <c r="X40" s="71"/>
      <c r="Y40" s="71"/>
      <c r="Z40" s="71"/>
      <c r="AA40" s="71"/>
      <c r="AB40" s="71"/>
      <c r="AC40" s="22"/>
      <c r="AD40" s="22"/>
      <c r="AE40" s="22"/>
      <c r="AF40" s="22"/>
      <c r="AG40" s="22"/>
      <c r="AH40" s="22"/>
      <c r="AI40" s="22"/>
      <c r="AJ40" s="22"/>
      <c r="AK40" s="22"/>
      <c r="AL40" s="22"/>
      <c r="AM40" s="22"/>
      <c r="AN40" s="22"/>
      <c r="AO40" s="22"/>
      <c r="AP40" s="22"/>
      <c r="AQ40" s="22"/>
      <c r="AR40" s="22"/>
      <c r="AS40" s="22"/>
    </row>
    <row r="41" spans="1:45" x14ac:dyDescent="0.3">
      <c r="A41" s="22"/>
      <c r="C41" s="224" t="str">
        <f>IF(INDEX(Status_Systeme,$A$2)=TRUE,"",IF(EA_BGF&gt;=3000,"² Betriebskosten lt. CostOpt 2019, Änderung in Registerblatt "&amp;Auswahl!G10&amp;" | "&amp;Auswahl!H10&amp;" möglich.",""))</f>
        <v/>
      </c>
      <c r="D41" s="53"/>
      <c r="E41" s="53"/>
      <c r="F41" s="53"/>
      <c r="G41" s="53"/>
      <c r="H41" s="53"/>
      <c r="I41" s="53"/>
      <c r="J41" s="53"/>
      <c r="K41" s="53"/>
      <c r="L41" s="50"/>
      <c r="M41" s="76"/>
      <c r="N41" s="78"/>
      <c r="O41" s="30"/>
      <c r="P41" s="24"/>
      <c r="Q41" s="24"/>
      <c r="R41" s="71"/>
      <c r="S41" s="71"/>
      <c r="T41" s="71"/>
      <c r="U41" s="128"/>
      <c r="V41" s="128"/>
      <c r="W41" s="71"/>
      <c r="X41" s="71"/>
      <c r="Y41" s="71"/>
      <c r="Z41" s="71"/>
      <c r="AA41" s="71"/>
      <c r="AB41" s="71"/>
      <c r="AC41" s="22"/>
      <c r="AD41" s="22"/>
      <c r="AE41" s="22"/>
      <c r="AF41" s="22"/>
      <c r="AG41" s="22"/>
      <c r="AH41" s="22"/>
      <c r="AI41" s="22"/>
      <c r="AJ41" s="22"/>
      <c r="AK41" s="22"/>
      <c r="AL41" s="22"/>
      <c r="AM41" s="22"/>
      <c r="AN41" s="22"/>
      <c r="AO41" s="22"/>
      <c r="AP41" s="22"/>
      <c r="AQ41" s="22"/>
      <c r="AR41" s="22"/>
      <c r="AS41" s="22"/>
    </row>
    <row r="42" spans="1:45" ht="7.5" customHeight="1" x14ac:dyDescent="0.3">
      <c r="A42" s="22"/>
      <c r="C42" s="52"/>
      <c r="D42" s="53"/>
      <c r="E42" s="53"/>
      <c r="F42" s="53"/>
      <c r="G42" s="53"/>
      <c r="H42" s="53"/>
      <c r="I42" s="53"/>
      <c r="J42" s="53"/>
      <c r="K42" s="53"/>
      <c r="L42" s="50"/>
      <c r="M42" s="76"/>
      <c r="N42" s="78"/>
      <c r="O42" s="30"/>
      <c r="P42" s="24"/>
      <c r="Q42" s="24"/>
      <c r="R42" s="71"/>
      <c r="S42" s="71"/>
      <c r="T42" s="71"/>
      <c r="U42" s="128"/>
      <c r="V42" s="128"/>
      <c r="W42" s="71"/>
      <c r="X42" s="71"/>
      <c r="Y42" s="71"/>
      <c r="Z42" s="71"/>
      <c r="AA42" s="71"/>
      <c r="AB42" s="71"/>
      <c r="AC42" s="22"/>
      <c r="AD42" s="22"/>
      <c r="AE42" s="22"/>
      <c r="AF42" s="22"/>
      <c r="AG42" s="22"/>
      <c r="AH42" s="22"/>
      <c r="AI42" s="22"/>
      <c r="AJ42" s="22"/>
      <c r="AK42" s="22"/>
      <c r="AL42" s="22"/>
      <c r="AM42" s="22"/>
      <c r="AN42" s="22"/>
      <c r="AO42" s="22"/>
      <c r="AP42" s="22"/>
      <c r="AQ42" s="22"/>
      <c r="AR42" s="22"/>
      <c r="AS42" s="22"/>
    </row>
    <row r="43" spans="1:45" ht="37.5" customHeight="1" x14ac:dyDescent="0.3">
      <c r="A43" s="22"/>
      <c r="B43" s="75"/>
      <c r="C43" s="416" t="str">
        <f>IF(INDEX(Status_Systeme,$A$2)=TRUE,"",$A$2&amp;".4 "&amp;UPPER(INDEX(Auswahl!$P$2:$P$6,4)))</f>
        <v>3.4 ENERGIEKOSTEN</v>
      </c>
      <c r="D43" s="416"/>
      <c r="E43" s="416"/>
      <c r="F43" s="416"/>
      <c r="G43" s="411" t="str">
        <f>IF(INDEX(Status_Systeme,$A$2)=TRUE,"","Energiebedarf"&amp;CHAR(10)&amp;"[kWh/a]")</f>
        <v>Energiebedarf
[kWh/a]</v>
      </c>
      <c r="H43" s="411"/>
      <c r="I43" s="411"/>
      <c r="J43" s="67" t="str">
        <f>IF(INDEX(Status_Systeme,$A$2)=TRUE,"","Energiepreis"&amp;IF(C46="","",IF(C41="","²","³"))&amp;CHAR(10)&amp;"[€/kWh]")</f>
        <v>Energiepreis²
[€/kWh]</v>
      </c>
      <c r="K43" s="409" t="str">
        <f>IF(INDEX(Status_Systeme,$A$2)=TRUE,"","Gesamtkosten"&amp;CHAR(2)&amp;CHAR(10)&amp;"nach "&amp;Basis_Betrachtungszeitraum&amp;"a [€]"&amp;CHAR(2))</f>
        <v>Gesamtkosten_x0002_
nach 20a [€]_x0002_</v>
      </c>
      <c r="L43" s="409"/>
      <c r="M43" s="76"/>
      <c r="N43" s="78"/>
      <c r="O43" s="30"/>
      <c r="P43" s="22"/>
      <c r="Q43" s="22"/>
      <c r="R43" s="71"/>
      <c r="S43" s="70" t="s">
        <v>180</v>
      </c>
      <c r="T43" s="70" t="s">
        <v>160</v>
      </c>
      <c r="U43" s="70" t="s">
        <v>161</v>
      </c>
      <c r="V43" s="70" t="s">
        <v>162</v>
      </c>
      <c r="W43" s="71"/>
      <c r="X43" s="71"/>
      <c r="Y43" s="71"/>
      <c r="Z43" s="71"/>
      <c r="AA43" s="71"/>
      <c r="AB43" s="71"/>
      <c r="AC43" s="22"/>
      <c r="AD43" s="22"/>
      <c r="AE43" s="22"/>
      <c r="AF43" s="22"/>
      <c r="AG43" s="22"/>
      <c r="AH43" s="22"/>
      <c r="AI43" s="22"/>
      <c r="AJ43" s="22"/>
      <c r="AK43" s="22"/>
      <c r="AL43" s="22"/>
      <c r="AM43" s="22"/>
      <c r="AN43" s="22"/>
      <c r="AO43" s="22"/>
      <c r="AP43" s="22"/>
      <c r="AQ43" s="22"/>
      <c r="AR43" s="22"/>
      <c r="AS43" s="22"/>
    </row>
    <row r="44" spans="1:45" x14ac:dyDescent="0.3">
      <c r="A44" s="22"/>
      <c r="B44" s="75"/>
      <c r="C44" s="81" t="str">
        <f>IF(INDEX(Status_Systeme,$A$2)=TRUE,"","A | RAUMWÄRME")</f>
        <v>A | RAUMWÄRME</v>
      </c>
      <c r="D44" s="414" t="str">
        <f>IF(INDEX(Status_Systeme,$A$2)=TRUE,"",VLOOKUP(Auswahl!$H$6,Tabelle_Betriebskosten,2,FALSE))</f>
        <v>Nah- und Fernwärme (ern.)</v>
      </c>
      <c r="E44" s="414"/>
      <c r="F44" s="414"/>
      <c r="G44" s="418">
        <f>IF(INDEX(Status_Systeme,$A$2)=TRUE,"",EA_QhSK_calc*INDEX(EA_EAWZ_RH_calc,$A$2))</f>
        <v>0</v>
      </c>
      <c r="H44" s="418"/>
      <c r="I44" s="418"/>
      <c r="J44" s="59">
        <f>IF(OR(D44="",G44=""),"",VLOOKUP(D44,Tabelle_Energie,8,FALSE))</f>
        <v>0.13333333333333333</v>
      </c>
      <c r="K44" s="419">
        <f>IF(J44="","",J44*G44*V44)</f>
        <v>0</v>
      </c>
      <c r="L44" s="419"/>
      <c r="M44" s="76"/>
      <c r="N44" s="78"/>
      <c r="O44" s="30"/>
      <c r="P44" s="55"/>
      <c r="Q44" s="55"/>
      <c r="R44" s="71"/>
      <c r="S44" s="72" t="b">
        <f>VLOOKUP(D44,Tabelle_Energie,6,FALSE)=VLOOKUP(D44,Tabelle_Energie,7,FALSE)</f>
        <v>0</v>
      </c>
      <c r="T44" s="105">
        <f>VLOOKUP(D44,Tabelle_Energie,5,FALSE)</f>
        <v>1.2999999999999999E-2</v>
      </c>
      <c r="U44" s="103">
        <f>(1-((1+T44)/(1+Basis_Marktzins))^Basis_Betrachtungszeitraum)/(1-((1+Basis_Inflation)/(1+Basis_Marktzins))^Basis_Betrachtungszeitraum)*((Basis_Marktzins-Basis_Inflation)/(1+Basis_Inflation))/((Basis_Marktzins-T44)/(1+T44))</f>
        <v>0.93557758766049581</v>
      </c>
      <c r="V44" s="103">
        <f>Basis_Barwertfaktor*U44</f>
        <v>15.026564998020135</v>
      </c>
      <c r="W44" s="71"/>
      <c r="X44" s="71"/>
      <c r="Y44" s="71"/>
      <c r="Z44" s="71"/>
      <c r="AA44" s="71"/>
      <c r="AB44" s="71"/>
      <c r="AC44" s="22"/>
      <c r="AD44" s="22"/>
      <c r="AE44" s="22"/>
      <c r="AF44" s="22"/>
      <c r="AG44" s="22"/>
      <c r="AH44" s="22"/>
      <c r="AI44" s="22"/>
      <c r="AJ44" s="22"/>
      <c r="AK44" s="22"/>
      <c r="AL44" s="22"/>
      <c r="AM44" s="22"/>
      <c r="AN44" s="22"/>
      <c r="AO44" s="22"/>
      <c r="AP44" s="22"/>
      <c r="AQ44" s="22"/>
      <c r="AR44" s="22"/>
      <c r="AS44" s="22"/>
    </row>
    <row r="45" spans="1:45" x14ac:dyDescent="0.3">
      <c r="A45" s="22"/>
      <c r="B45" s="75"/>
      <c r="C45" s="81" t="str">
        <f>IF(INDEX(Status_Systeme,$A$2)=TRUE,"","B | WARMWASSER")</f>
        <v>B | WARMWASSER</v>
      </c>
      <c r="D45" s="414" t="str">
        <f>IF(INDEX(Status_Systeme,$A$2)=TRUE,"",IF(Basis_WW_dezentral=FALSE,D44,INDEX(Tabelle_Energie,8,1)))</f>
        <v>Nah- und Fernwärme (ern.)</v>
      </c>
      <c r="E45" s="414"/>
      <c r="F45" s="414"/>
      <c r="G45" s="418">
        <f>IF(INDEX(Status_Systeme,$A$2)=TRUE,"",EA_Qtw_calc*INDEX(EA_EAWZ_WW_calc,$A$2))</f>
        <v>0</v>
      </c>
      <c r="H45" s="418"/>
      <c r="I45" s="418"/>
      <c r="J45" s="59">
        <f>IF(OR(D45="",G45=""),"",VLOOKUP(D45,Tabelle_Energie,8,FALSE))</f>
        <v>0.13333333333333333</v>
      </c>
      <c r="K45" s="419">
        <f>IF(J45="","",J45*G45*V45)</f>
        <v>0</v>
      </c>
      <c r="L45" s="419"/>
      <c r="M45" s="76"/>
      <c r="N45" s="78"/>
      <c r="O45" s="30"/>
      <c r="P45" s="55"/>
      <c r="Q45" s="55"/>
      <c r="R45" s="71"/>
      <c r="S45" s="72" t="b">
        <f>VLOOKUP(D45,Tabelle_Energie,6,FALSE)=VLOOKUP(D45,Tabelle_Energie,7,FALSE)</f>
        <v>0</v>
      </c>
      <c r="T45" s="105">
        <f>VLOOKUP(D45,Tabelle_Energie,5,FALSE)</f>
        <v>1.2999999999999999E-2</v>
      </c>
      <c r="U45" s="103">
        <f>(1-((1+T45)/(1+Basis_Marktzins))^Basis_Betrachtungszeitraum)/(1-((1+Basis_Inflation)/(1+Basis_Marktzins))^Basis_Betrachtungszeitraum)*((Basis_Marktzins-Basis_Inflation)/(1+Basis_Inflation))/((Basis_Marktzins-T45)/(1+T45))</f>
        <v>0.93557758766049581</v>
      </c>
      <c r="V45" s="103">
        <f>Basis_Barwertfaktor*U45</f>
        <v>15.026564998020135</v>
      </c>
      <c r="W45" s="71"/>
      <c r="X45" s="71"/>
      <c r="Y45" s="71"/>
      <c r="Z45" s="71"/>
      <c r="AA45" s="71"/>
      <c r="AB45" s="71"/>
      <c r="AC45" s="22"/>
      <c r="AD45" s="22"/>
      <c r="AE45" s="22"/>
      <c r="AF45" s="22"/>
      <c r="AG45" s="22"/>
      <c r="AH45" s="22"/>
      <c r="AI45" s="22"/>
      <c r="AJ45" s="22"/>
      <c r="AK45" s="22"/>
      <c r="AL45" s="22"/>
      <c r="AM45" s="22"/>
      <c r="AN45" s="22"/>
      <c r="AO45" s="22"/>
      <c r="AP45" s="22"/>
      <c r="AQ45" s="22"/>
      <c r="AR45" s="22"/>
      <c r="AS45" s="22"/>
    </row>
    <row r="46" spans="1:45" x14ac:dyDescent="0.3">
      <c r="A46" s="22"/>
      <c r="C46" s="224" t="str">
        <f>IF(INDEX(Status_Systeme,$A$2)=TRUE,"",IF(OR(EA_BGF&gt;=3000,EA_WG=FALSE),IF(C41="","²","³")&amp;" Energiekosten lt. CostOpt 2019, Änderung in Registerblatt "&amp;Auswahl!G10&amp;" | "&amp;Auswahl!H10&amp;" möglich.",""))</f>
        <v>² Energiekosten lt. CostOpt 2019, Änderung in Registerblatt 7 | Rahmenbedingungen möglich.</v>
      </c>
      <c r="D46" s="53"/>
      <c r="E46" s="53"/>
      <c r="F46" s="53"/>
      <c r="G46" s="53"/>
      <c r="H46" s="53"/>
      <c r="I46" s="53"/>
      <c r="J46" s="53"/>
      <c r="K46" s="53"/>
      <c r="L46" s="50"/>
      <c r="M46" s="76"/>
      <c r="N46" s="78"/>
      <c r="O46" s="30"/>
      <c r="P46" s="24"/>
      <c r="Q46" s="24"/>
      <c r="R46" s="71"/>
      <c r="S46" s="71"/>
      <c r="T46" s="71"/>
      <c r="U46" s="128"/>
      <c r="V46" s="128"/>
      <c r="W46" s="71"/>
      <c r="X46" s="71"/>
      <c r="Y46" s="71"/>
      <c r="Z46" s="71"/>
      <c r="AA46" s="71"/>
      <c r="AB46" s="71"/>
      <c r="AC46" s="22"/>
      <c r="AD46" s="22"/>
      <c r="AE46" s="22"/>
      <c r="AF46" s="22"/>
      <c r="AG46" s="22"/>
      <c r="AH46" s="22"/>
      <c r="AI46" s="22"/>
      <c r="AJ46" s="22"/>
      <c r="AK46" s="22"/>
      <c r="AL46" s="22"/>
      <c r="AM46" s="22"/>
      <c r="AN46" s="22"/>
      <c r="AO46" s="22"/>
      <c r="AP46" s="22"/>
      <c r="AQ46" s="22"/>
      <c r="AR46" s="22"/>
      <c r="AS46" s="22"/>
    </row>
    <row r="47" spans="1:45" ht="7.5" hidden="1" customHeight="1" x14ac:dyDescent="0.3">
      <c r="A47" s="190" t="s">
        <v>156</v>
      </c>
      <c r="C47" s="53"/>
      <c r="D47" s="53"/>
      <c r="E47" s="53"/>
      <c r="F47" s="53"/>
      <c r="G47" s="53"/>
      <c r="H47" s="53"/>
      <c r="I47" s="53"/>
      <c r="J47" s="53"/>
      <c r="K47" s="53"/>
      <c r="L47" s="50"/>
      <c r="M47" s="76"/>
      <c r="N47" s="78"/>
      <c r="O47" s="30"/>
      <c r="P47" s="24"/>
      <c r="Q47" s="24"/>
      <c r="R47" s="71"/>
      <c r="S47" s="71"/>
      <c r="T47" s="71"/>
      <c r="U47" s="128"/>
      <c r="V47" s="128"/>
      <c r="W47" s="71"/>
      <c r="X47" s="71"/>
      <c r="Y47" s="71"/>
      <c r="Z47" s="71"/>
      <c r="AA47" s="71"/>
      <c r="AB47" s="71"/>
      <c r="AC47" s="22"/>
      <c r="AD47" s="22"/>
      <c r="AE47" s="22"/>
      <c r="AF47" s="22"/>
      <c r="AG47" s="22"/>
      <c r="AH47" s="22"/>
      <c r="AI47" s="22"/>
      <c r="AJ47" s="22"/>
      <c r="AK47" s="22"/>
      <c r="AL47" s="22"/>
      <c r="AM47" s="22"/>
      <c r="AN47" s="22"/>
      <c r="AO47" s="22"/>
      <c r="AP47" s="22"/>
      <c r="AQ47" s="22"/>
      <c r="AR47" s="22"/>
      <c r="AS47" s="22"/>
    </row>
    <row r="48" spans="1:45" ht="37.5" hidden="1" customHeight="1" x14ac:dyDescent="0.3">
      <c r="A48" s="190" t="s">
        <v>156</v>
      </c>
      <c r="B48" s="75"/>
      <c r="C48" s="416" t="str">
        <f>IF(OR(INDEX(Status_Systeme,$A$2)=TRUE,EA_PV_Status=FALSE),"",$A$2&amp;".5 "&amp;UPPER(INDEX(Auswahl!$P$2:$P$6,5)))</f>
        <v/>
      </c>
      <c r="D48" s="416"/>
      <c r="E48" s="416"/>
      <c r="F48" s="416"/>
      <c r="G48" s="411" t="str">
        <f>IF(OR(INDEX(Status_Systeme,$A$2)=TRUE,EA_PV_Status=FALSE),"","Energiegewinn"&amp;CHAR(10)&amp;"[kWh/a]")</f>
        <v/>
      </c>
      <c r="H48" s="411"/>
      <c r="I48" s="411"/>
      <c r="J48" s="67" t="str">
        <f>IF(OR(INDEX(Status_Systeme,$A$2)=TRUE,EA_PV_Status=FALSE),"","Energiepreis*"&amp;CHAR(10)&amp;"[€/kWh]")</f>
        <v/>
      </c>
      <c r="K48" s="409" t="str">
        <f>IF(OR(INDEX(Status_Systeme,$A$2)=TRUE,EA_PV_Status=FALSE),"","Gesamtkosten"&amp;CHAR(2)&amp;CHAR(10)&amp;"nach T [€]"&amp;CHAR(2))</f>
        <v/>
      </c>
      <c r="L48" s="409"/>
      <c r="M48" s="76"/>
      <c r="N48" s="78"/>
      <c r="O48" s="30"/>
      <c r="P48" s="22"/>
      <c r="Q48" s="22"/>
      <c r="R48" s="71"/>
      <c r="S48" s="70" t="s">
        <v>180</v>
      </c>
      <c r="T48" s="70" t="s">
        <v>160</v>
      </c>
      <c r="U48" s="70" t="s">
        <v>161</v>
      </c>
      <c r="V48" s="70" t="s">
        <v>162</v>
      </c>
      <c r="W48" s="71"/>
      <c r="X48" s="71"/>
      <c r="Y48" s="71"/>
      <c r="Z48" s="71"/>
      <c r="AA48" s="71"/>
      <c r="AB48" s="71"/>
      <c r="AC48" s="22"/>
      <c r="AD48" s="22"/>
      <c r="AE48" s="22"/>
      <c r="AF48" s="22"/>
      <c r="AG48" s="22"/>
      <c r="AH48" s="22"/>
      <c r="AI48" s="22"/>
      <c r="AJ48" s="22"/>
      <c r="AK48" s="22"/>
      <c r="AL48" s="22"/>
      <c r="AM48" s="22"/>
      <c r="AN48" s="22"/>
      <c r="AO48" s="22"/>
      <c r="AP48" s="22"/>
      <c r="AQ48" s="22"/>
      <c r="AR48" s="22"/>
      <c r="AS48" s="22"/>
    </row>
    <row r="49" spans="1:45" hidden="1" x14ac:dyDescent="0.3">
      <c r="A49" s="190" t="s">
        <v>156</v>
      </c>
      <c r="B49" s="75"/>
      <c r="C49" s="81" t="str">
        <f>IF(OR(INDEX(Status_Systeme,$A$2)=TRUE,EA_PV_Status=FALSE),"","A | EIGENVERBRAUCH")</f>
        <v/>
      </c>
      <c r="D49" s="414" t="str">
        <f>IF(OR(INDEX(Status_Systeme,$A$2)=TRUE,EA_PV_Status=FALSE),"",INDEX(Tabelle_Energie,8,1))</f>
        <v/>
      </c>
      <c r="E49" s="414"/>
      <c r="F49" s="414"/>
      <c r="G49" s="418"/>
      <c r="H49" s="418"/>
      <c r="I49" s="418"/>
      <c r="J49" s="59"/>
      <c r="K49" s="419"/>
      <c r="L49" s="419"/>
      <c r="M49" s="76"/>
      <c r="N49" s="78"/>
      <c r="O49" s="30"/>
      <c r="P49" s="55"/>
      <c r="Q49" s="55"/>
      <c r="R49" s="71"/>
      <c r="S49" s="72" t="e">
        <f>VLOOKUP(D49,Tabelle_Energie,6,FALSE)=VLOOKUP(D49,Tabelle_Energie,7,FALSE)</f>
        <v>#N/A</v>
      </c>
      <c r="T49" s="105" t="e">
        <f>VLOOKUP(D49,Tabelle_Energie,5,FALSE)</f>
        <v>#N/A</v>
      </c>
      <c r="U49" s="103" t="e">
        <f>(1-((1+T49)/(1+Basis_Marktzins))^Basis_Betrachtungszeitraum)/(1-((1+Basis_Inflation)/(1+Basis_Marktzins))^Basis_Betrachtungszeitraum)*((Basis_Marktzins-Basis_Inflation)/(1+Basis_Inflation))/((Basis_Marktzins-T49)/(1+T49))</f>
        <v>#N/A</v>
      </c>
      <c r="V49" s="103" t="e">
        <f>Basis_Barwertfaktor*U49</f>
        <v>#N/A</v>
      </c>
      <c r="W49" s="71"/>
      <c r="X49" s="71"/>
      <c r="Y49" s="71"/>
      <c r="Z49" s="71"/>
      <c r="AA49" s="71"/>
      <c r="AB49" s="71"/>
      <c r="AC49" s="22"/>
      <c r="AD49" s="22"/>
      <c r="AE49" s="22"/>
      <c r="AF49" s="22"/>
      <c r="AG49" s="22"/>
      <c r="AH49" s="22"/>
      <c r="AI49" s="22"/>
      <c r="AJ49" s="22"/>
      <c r="AK49" s="22"/>
      <c r="AL49" s="22"/>
      <c r="AM49" s="22"/>
      <c r="AN49" s="22"/>
      <c r="AO49" s="22"/>
      <c r="AP49" s="22"/>
      <c r="AQ49" s="22"/>
      <c r="AR49" s="22"/>
      <c r="AS49" s="22"/>
    </row>
    <row r="50" spans="1:45" hidden="1" x14ac:dyDescent="0.3">
      <c r="A50" s="190" t="s">
        <v>156</v>
      </c>
      <c r="B50" s="75"/>
      <c r="C50" s="81" t="str">
        <f>IF(OR(INDEX(Status_Systeme,$A$2)=TRUE,EA_PV_Status=FALSE),"","B | ÜBERSCHUSS")</f>
        <v/>
      </c>
      <c r="D50" s="414" t="str">
        <f>IF(OR(INDEX(Status_Systeme,$A$2)=TRUE,EA_PV_Status=FALSE),"",INDEX(Tabelle_Energie,8,1))</f>
        <v/>
      </c>
      <c r="E50" s="414"/>
      <c r="F50" s="414"/>
      <c r="G50" s="418"/>
      <c r="H50" s="418"/>
      <c r="I50" s="418"/>
      <c r="J50" s="59"/>
      <c r="K50" s="419"/>
      <c r="L50" s="419"/>
      <c r="M50" s="76"/>
      <c r="N50" s="78"/>
      <c r="O50" s="30"/>
      <c r="P50" s="55"/>
      <c r="Q50" s="55"/>
      <c r="R50" s="71"/>
      <c r="S50" s="72" t="e">
        <f>VLOOKUP(D50,Tabelle_Energie,6,FALSE)=VLOOKUP(D50,Tabelle_Energie,7,FALSE)</f>
        <v>#N/A</v>
      </c>
      <c r="T50" s="105" t="e">
        <f>VLOOKUP(D50,Tabelle_Energie,5,FALSE)</f>
        <v>#N/A</v>
      </c>
      <c r="U50" s="103" t="e">
        <f>(1-((1+T50)/(1+Basis_Marktzins))^Basis_Betrachtungszeitraum)/(1-((1+Basis_Inflation)/(1+Basis_Marktzins))^Basis_Betrachtungszeitraum)*((Basis_Marktzins-Basis_Inflation)/(1+Basis_Inflation))/((Basis_Marktzins-T50)/(1+T50))</f>
        <v>#N/A</v>
      </c>
      <c r="V50" s="103" t="e">
        <f>Basis_Barwertfaktor*U50</f>
        <v>#N/A</v>
      </c>
      <c r="W50" s="71"/>
      <c r="X50" s="71"/>
      <c r="Y50" s="71"/>
      <c r="Z50" s="71"/>
      <c r="AA50" s="71"/>
      <c r="AB50" s="71"/>
      <c r="AC50" s="22"/>
      <c r="AD50" s="22"/>
      <c r="AE50" s="22"/>
      <c r="AF50" s="22"/>
      <c r="AG50" s="22"/>
      <c r="AH50" s="22"/>
      <c r="AI50" s="22"/>
      <c r="AJ50" s="22"/>
      <c r="AK50" s="22"/>
      <c r="AL50" s="22"/>
      <c r="AM50" s="22"/>
      <c r="AN50" s="22"/>
      <c r="AO50" s="22"/>
      <c r="AP50" s="22"/>
      <c r="AQ50" s="22"/>
      <c r="AR50" s="22"/>
      <c r="AS50" s="22"/>
    </row>
    <row r="51" spans="1:45" x14ac:dyDescent="0.3">
      <c r="A51" s="22"/>
      <c r="B51" s="71"/>
      <c r="C51" s="24"/>
      <c r="D51" s="24"/>
      <c r="E51" s="31"/>
      <c r="F51" s="24"/>
      <c r="G51" s="24"/>
      <c r="H51" s="24"/>
      <c r="I51" s="31"/>
      <c r="J51" s="24"/>
      <c r="K51" s="24"/>
      <c r="L51" s="24"/>
      <c r="M51" s="78"/>
      <c r="N51" s="78"/>
      <c r="O51" s="24"/>
      <c r="P51" s="24"/>
      <c r="Q51" s="24"/>
      <c r="R51" s="71"/>
      <c r="S51" s="71"/>
      <c r="T51" s="71"/>
      <c r="U51" s="128"/>
      <c r="V51" s="128"/>
      <c r="W51" s="71"/>
      <c r="X51" s="71"/>
      <c r="Y51" s="71"/>
      <c r="Z51" s="71"/>
      <c r="AA51" s="71"/>
      <c r="AB51" s="71"/>
      <c r="AC51" s="22"/>
      <c r="AD51" s="22"/>
      <c r="AE51" s="22"/>
      <c r="AF51" s="22"/>
      <c r="AG51" s="22"/>
      <c r="AH51" s="22"/>
      <c r="AI51" s="22"/>
      <c r="AJ51" s="22"/>
      <c r="AK51" s="22"/>
      <c r="AL51" s="22"/>
      <c r="AM51" s="22"/>
      <c r="AN51" s="22"/>
      <c r="AO51" s="22"/>
      <c r="AP51" s="22"/>
      <c r="AQ51" s="22"/>
      <c r="AR51" s="22"/>
      <c r="AS51" s="22"/>
    </row>
    <row r="52" spans="1:45" x14ac:dyDescent="0.3">
      <c r="A52" s="22"/>
      <c r="B52" s="71"/>
      <c r="C52" s="24"/>
      <c r="D52" s="24"/>
      <c r="E52" s="31"/>
      <c r="F52" s="24"/>
      <c r="G52" s="24"/>
      <c r="H52" s="24"/>
      <c r="I52" s="31"/>
      <c r="J52" s="24"/>
      <c r="K52" s="24"/>
      <c r="L52" s="24"/>
      <c r="M52" s="78"/>
      <c r="N52" s="78"/>
      <c r="O52" s="24"/>
      <c r="P52" s="24"/>
      <c r="Q52" s="24"/>
      <c r="R52" s="71"/>
      <c r="S52" s="71"/>
      <c r="T52" s="71"/>
      <c r="U52" s="71"/>
      <c r="V52" s="71"/>
      <c r="W52" s="71"/>
      <c r="X52" s="71"/>
      <c r="Y52" s="71"/>
      <c r="Z52" s="71"/>
      <c r="AA52" s="71"/>
      <c r="AB52" s="71"/>
      <c r="AC52" s="22"/>
      <c r="AD52" s="22"/>
      <c r="AE52" s="22"/>
      <c r="AF52" s="22"/>
      <c r="AG52" s="22"/>
      <c r="AH52" s="22"/>
      <c r="AI52" s="22"/>
      <c r="AJ52" s="22"/>
      <c r="AK52" s="22"/>
      <c r="AL52" s="22"/>
      <c r="AM52" s="22"/>
      <c r="AN52" s="22"/>
      <c r="AO52" s="22"/>
      <c r="AP52" s="22"/>
      <c r="AQ52" s="22"/>
      <c r="AR52" s="22"/>
      <c r="AS52" s="22"/>
    </row>
    <row r="53" spans="1:45" x14ac:dyDescent="0.3">
      <c r="A53" s="22"/>
      <c r="B53" s="71"/>
      <c r="C53" s="56"/>
      <c r="D53" s="56"/>
      <c r="E53" s="29"/>
      <c r="F53" s="29"/>
      <c r="G53" s="29"/>
      <c r="H53" s="29"/>
      <c r="I53" s="29"/>
      <c r="J53" s="29"/>
      <c r="K53" s="29"/>
      <c r="L53" s="57"/>
      <c r="M53" s="78"/>
      <c r="N53" s="78"/>
      <c r="O53" s="24"/>
      <c r="P53" s="24"/>
      <c r="Q53" s="24"/>
      <c r="R53" s="71"/>
      <c r="S53" s="71"/>
      <c r="T53" s="71"/>
      <c r="U53" s="71"/>
      <c r="V53" s="71"/>
      <c r="W53" s="71"/>
      <c r="X53" s="71"/>
      <c r="Y53" s="71"/>
      <c r="Z53" s="71"/>
      <c r="AA53" s="71"/>
      <c r="AB53" s="71"/>
      <c r="AC53" s="22"/>
      <c r="AD53" s="22"/>
      <c r="AE53" s="22"/>
      <c r="AF53" s="22"/>
      <c r="AG53" s="22"/>
      <c r="AH53" s="22"/>
      <c r="AI53" s="22"/>
      <c r="AJ53" s="22"/>
      <c r="AK53" s="22"/>
      <c r="AL53" s="22"/>
      <c r="AM53" s="22"/>
      <c r="AN53" s="22"/>
      <c r="AO53" s="22"/>
      <c r="AP53" s="22"/>
      <c r="AQ53" s="22"/>
      <c r="AR53" s="22"/>
      <c r="AS53" s="22"/>
    </row>
    <row r="54" spans="1:45" x14ac:dyDescent="0.3">
      <c r="A54" s="22"/>
      <c r="B54" s="71"/>
      <c r="C54" s="24"/>
      <c r="D54" s="24"/>
      <c r="E54" s="31"/>
      <c r="F54" s="24"/>
      <c r="G54" s="24"/>
      <c r="H54" s="24"/>
      <c r="I54" s="31"/>
      <c r="J54" s="24"/>
      <c r="K54" s="24"/>
      <c r="L54" s="24"/>
      <c r="M54" s="78"/>
      <c r="N54" s="78"/>
      <c r="O54" s="24"/>
      <c r="P54" s="24"/>
      <c r="Q54" s="24"/>
      <c r="R54" s="71"/>
      <c r="S54" s="71"/>
      <c r="T54" s="71"/>
      <c r="U54" s="71"/>
      <c r="V54" s="71"/>
      <c r="W54" s="71"/>
      <c r="X54" s="71"/>
      <c r="Y54" s="71"/>
      <c r="Z54" s="71"/>
      <c r="AA54" s="71"/>
      <c r="AB54" s="71"/>
      <c r="AC54" s="22"/>
      <c r="AD54" s="22"/>
      <c r="AE54" s="22"/>
      <c r="AF54" s="22"/>
      <c r="AG54" s="22"/>
      <c r="AH54" s="22"/>
      <c r="AI54" s="22"/>
      <c r="AJ54" s="22"/>
      <c r="AK54" s="22"/>
      <c r="AL54" s="22"/>
      <c r="AM54" s="22"/>
      <c r="AN54" s="22"/>
      <c r="AO54" s="22"/>
      <c r="AP54" s="22"/>
      <c r="AQ54" s="22"/>
      <c r="AR54" s="22"/>
      <c r="AS54" s="22"/>
    </row>
    <row r="55" spans="1:45" x14ac:dyDescent="0.3">
      <c r="A55" s="22"/>
      <c r="B55" s="71"/>
      <c r="C55" s="24"/>
      <c r="D55" s="24"/>
      <c r="E55" s="31"/>
      <c r="F55" s="24"/>
      <c r="G55" s="24"/>
      <c r="H55" s="24"/>
      <c r="I55" s="31"/>
      <c r="J55" s="24"/>
      <c r="K55" s="24"/>
      <c r="L55" s="24"/>
      <c r="M55" s="78"/>
      <c r="N55" s="78"/>
      <c r="O55" s="24"/>
      <c r="P55" s="24"/>
      <c r="Q55" s="24"/>
      <c r="R55" s="71"/>
      <c r="S55" s="71"/>
      <c r="T55" s="71"/>
      <c r="U55" s="71"/>
      <c r="V55" s="71"/>
      <c r="W55" s="71"/>
      <c r="X55" s="71"/>
      <c r="Y55" s="71"/>
      <c r="Z55" s="71"/>
      <c r="AA55" s="71"/>
      <c r="AB55" s="71"/>
      <c r="AC55" s="22"/>
      <c r="AD55" s="22"/>
      <c r="AE55" s="22"/>
      <c r="AF55" s="22"/>
      <c r="AG55" s="22"/>
      <c r="AH55" s="22"/>
      <c r="AI55" s="22"/>
      <c r="AJ55" s="22"/>
      <c r="AK55" s="22"/>
      <c r="AL55" s="22"/>
      <c r="AM55" s="22"/>
      <c r="AN55" s="22"/>
      <c r="AO55" s="22"/>
      <c r="AP55" s="22"/>
      <c r="AQ55" s="22"/>
      <c r="AR55" s="22"/>
      <c r="AS55" s="22"/>
    </row>
    <row r="56" spans="1:45" x14ac:dyDescent="0.3">
      <c r="A56" s="22"/>
      <c r="B56" s="71"/>
      <c r="C56" s="24"/>
      <c r="D56" s="24"/>
      <c r="E56" s="31"/>
      <c r="F56" s="24"/>
      <c r="G56" s="24"/>
      <c r="H56" s="24"/>
      <c r="I56" s="31"/>
      <c r="J56" s="24"/>
      <c r="K56" s="24"/>
      <c r="L56" s="24"/>
      <c r="M56" s="78"/>
      <c r="N56" s="78"/>
      <c r="O56" s="24"/>
      <c r="P56" s="24"/>
      <c r="Q56" s="24"/>
      <c r="R56" s="71"/>
      <c r="S56" s="71"/>
      <c r="T56" s="71"/>
      <c r="U56" s="71"/>
      <c r="V56" s="71"/>
      <c r="W56" s="71"/>
      <c r="X56" s="71"/>
      <c r="Y56" s="71"/>
      <c r="Z56" s="71"/>
      <c r="AA56" s="71"/>
      <c r="AB56" s="71"/>
      <c r="AC56" s="22"/>
      <c r="AD56" s="22"/>
      <c r="AE56" s="22"/>
      <c r="AF56" s="22"/>
      <c r="AG56" s="22"/>
      <c r="AH56" s="22"/>
      <c r="AI56" s="22"/>
      <c r="AJ56" s="22"/>
      <c r="AK56" s="22"/>
      <c r="AL56" s="22"/>
      <c r="AM56" s="22"/>
      <c r="AN56" s="22"/>
      <c r="AO56" s="22"/>
      <c r="AP56" s="22"/>
      <c r="AQ56" s="22"/>
      <c r="AR56" s="22"/>
      <c r="AS56" s="22"/>
    </row>
    <row r="57" spans="1:45" x14ac:dyDescent="0.3">
      <c r="A57" s="22"/>
      <c r="B57" s="71"/>
      <c r="C57" s="24"/>
      <c r="D57" s="24"/>
      <c r="E57" s="31"/>
      <c r="F57" s="24"/>
      <c r="G57" s="24"/>
      <c r="H57" s="24"/>
      <c r="I57" s="31"/>
      <c r="J57" s="24"/>
      <c r="K57" s="24"/>
      <c r="L57" s="24"/>
      <c r="M57" s="78"/>
      <c r="N57" s="78"/>
      <c r="O57" s="24"/>
      <c r="P57" s="24"/>
      <c r="Q57" s="24"/>
      <c r="R57" s="71"/>
      <c r="S57" s="71"/>
      <c r="T57" s="71"/>
      <c r="U57" s="71"/>
      <c r="V57" s="71"/>
      <c r="W57" s="71"/>
      <c r="X57" s="71"/>
      <c r="Y57" s="71"/>
      <c r="Z57" s="71"/>
      <c r="AA57" s="71"/>
      <c r="AB57" s="71"/>
      <c r="AC57" s="22"/>
      <c r="AD57" s="22"/>
      <c r="AE57" s="22"/>
      <c r="AF57" s="22"/>
      <c r="AG57" s="22"/>
      <c r="AH57" s="22"/>
      <c r="AI57" s="22"/>
      <c r="AJ57" s="22"/>
      <c r="AK57" s="22"/>
      <c r="AL57" s="22"/>
      <c r="AM57" s="22"/>
      <c r="AN57" s="22"/>
      <c r="AO57" s="22"/>
      <c r="AP57" s="22"/>
      <c r="AQ57" s="22"/>
      <c r="AR57" s="22"/>
      <c r="AS57" s="22"/>
    </row>
    <row r="58" spans="1:45" x14ac:dyDescent="0.3">
      <c r="A58" s="22"/>
      <c r="B58" s="71"/>
      <c r="C58" s="24"/>
      <c r="D58" s="31"/>
      <c r="E58" s="24"/>
      <c r="F58" s="24"/>
      <c r="G58" s="24"/>
      <c r="H58" s="31"/>
      <c r="I58" s="24"/>
      <c r="J58" s="24"/>
      <c r="K58" s="24"/>
      <c r="L58" s="31"/>
      <c r="M58" s="78"/>
      <c r="N58" s="78"/>
      <c r="O58" s="24"/>
      <c r="P58" s="24"/>
      <c r="Q58" s="24"/>
      <c r="R58" s="71"/>
      <c r="S58" s="71"/>
      <c r="T58" s="71"/>
      <c r="U58" s="71"/>
      <c r="V58" s="71"/>
      <c r="W58" s="71"/>
      <c r="X58" s="71"/>
      <c r="Y58" s="71"/>
      <c r="Z58" s="71"/>
      <c r="AA58" s="71"/>
      <c r="AB58" s="71"/>
      <c r="AC58" s="22"/>
      <c r="AD58" s="22"/>
      <c r="AE58" s="22"/>
      <c r="AF58" s="22"/>
      <c r="AG58" s="22"/>
      <c r="AH58" s="22"/>
      <c r="AI58" s="22"/>
      <c r="AJ58" s="22"/>
      <c r="AK58" s="22"/>
      <c r="AL58" s="22"/>
      <c r="AM58" s="22"/>
      <c r="AN58" s="22"/>
      <c r="AO58" s="22"/>
      <c r="AP58" s="22"/>
      <c r="AQ58" s="22"/>
      <c r="AR58" s="22"/>
      <c r="AS58" s="22"/>
    </row>
    <row r="59" spans="1:45" x14ac:dyDescent="0.3">
      <c r="A59" s="22"/>
      <c r="B59" s="71"/>
      <c r="C59" s="24"/>
      <c r="D59" s="31"/>
      <c r="E59" s="24"/>
      <c r="F59" s="24"/>
      <c r="G59" s="24"/>
      <c r="H59" s="31"/>
      <c r="I59" s="24"/>
      <c r="J59" s="24"/>
      <c r="K59" s="24"/>
      <c r="L59" s="31"/>
      <c r="M59" s="78"/>
      <c r="N59" s="78"/>
      <c r="O59" s="24"/>
      <c r="P59" s="24"/>
      <c r="Q59" s="24"/>
      <c r="R59" s="71"/>
      <c r="S59" s="71"/>
      <c r="T59" s="71"/>
      <c r="U59" s="71"/>
      <c r="V59" s="71"/>
      <c r="W59" s="71"/>
      <c r="X59" s="71"/>
      <c r="Y59" s="71"/>
      <c r="Z59" s="71"/>
      <c r="AA59" s="71"/>
      <c r="AB59" s="71"/>
      <c r="AC59" s="22"/>
      <c r="AD59" s="22"/>
      <c r="AE59" s="22"/>
      <c r="AF59" s="22"/>
      <c r="AG59" s="22"/>
      <c r="AH59" s="22"/>
      <c r="AI59" s="22"/>
      <c r="AJ59" s="22"/>
      <c r="AK59" s="22"/>
      <c r="AL59" s="22"/>
      <c r="AM59" s="22"/>
      <c r="AN59" s="22"/>
      <c r="AO59" s="22"/>
      <c r="AP59" s="22"/>
      <c r="AQ59" s="22"/>
      <c r="AR59" s="22"/>
      <c r="AS59" s="22"/>
    </row>
    <row r="60" spans="1:45" x14ac:dyDescent="0.3">
      <c r="A60" s="22"/>
      <c r="B60" s="71"/>
      <c r="C60" s="24"/>
      <c r="D60" s="31"/>
      <c r="E60" s="24"/>
      <c r="F60" s="24"/>
      <c r="G60" s="24"/>
      <c r="H60" s="31"/>
      <c r="I60" s="24"/>
      <c r="J60" s="24"/>
      <c r="K60" s="24"/>
      <c r="L60" s="31"/>
      <c r="M60" s="78"/>
      <c r="N60" s="78"/>
      <c r="O60" s="24"/>
      <c r="P60" s="24"/>
      <c r="Q60" s="24"/>
      <c r="R60" s="71"/>
      <c r="S60" s="71"/>
      <c r="T60" s="71"/>
      <c r="U60" s="71"/>
      <c r="V60" s="71"/>
      <c r="W60" s="71"/>
      <c r="X60" s="71"/>
      <c r="Y60" s="71"/>
      <c r="Z60" s="71"/>
      <c r="AA60" s="71"/>
      <c r="AB60" s="71"/>
      <c r="AC60" s="22"/>
      <c r="AD60" s="22"/>
      <c r="AE60" s="22"/>
      <c r="AF60" s="22"/>
      <c r="AG60" s="22"/>
      <c r="AH60" s="22"/>
      <c r="AI60" s="22"/>
      <c r="AJ60" s="22"/>
      <c r="AK60" s="22"/>
      <c r="AL60" s="22"/>
      <c r="AM60" s="22"/>
      <c r="AN60" s="22"/>
      <c r="AO60" s="22"/>
      <c r="AP60" s="22"/>
      <c r="AQ60" s="22"/>
      <c r="AR60" s="22"/>
      <c r="AS60" s="22"/>
    </row>
    <row r="61" spans="1:45" x14ac:dyDescent="0.3">
      <c r="A61" s="22"/>
      <c r="B61" s="71"/>
      <c r="C61" s="24"/>
      <c r="D61" s="31"/>
      <c r="E61" s="24"/>
      <c r="F61" s="24"/>
      <c r="G61" s="24"/>
      <c r="H61" s="31"/>
      <c r="I61" s="24"/>
      <c r="J61" s="24"/>
      <c r="K61" s="24"/>
      <c r="L61" s="31"/>
      <c r="M61" s="78"/>
      <c r="N61" s="78"/>
      <c r="O61" s="24"/>
      <c r="P61" s="24"/>
      <c r="Q61" s="24"/>
      <c r="R61" s="71"/>
      <c r="S61" s="71"/>
      <c r="T61" s="71"/>
      <c r="U61" s="71"/>
      <c r="V61" s="71"/>
      <c r="W61" s="71"/>
      <c r="X61" s="71"/>
      <c r="Y61" s="71"/>
      <c r="Z61" s="71"/>
      <c r="AA61" s="71"/>
      <c r="AB61" s="71"/>
      <c r="AC61" s="22"/>
      <c r="AD61" s="22"/>
      <c r="AE61" s="22"/>
      <c r="AF61" s="22"/>
      <c r="AG61" s="22"/>
      <c r="AH61" s="22"/>
      <c r="AI61" s="22"/>
      <c r="AJ61" s="22"/>
      <c r="AK61" s="22"/>
      <c r="AL61" s="22"/>
      <c r="AM61" s="22"/>
      <c r="AN61" s="22"/>
      <c r="AO61" s="22"/>
      <c r="AP61" s="22"/>
      <c r="AQ61" s="22"/>
      <c r="AR61" s="22"/>
      <c r="AS61" s="22"/>
    </row>
    <row r="62" spans="1:45" x14ac:dyDescent="0.3">
      <c r="A62" s="22"/>
      <c r="B62" s="71"/>
      <c r="C62" s="24"/>
      <c r="D62" s="31"/>
      <c r="E62" s="24"/>
      <c r="F62" s="24"/>
      <c r="G62" s="24"/>
      <c r="H62" s="31"/>
      <c r="I62" s="24"/>
      <c r="J62" s="24"/>
      <c r="K62" s="24"/>
      <c r="L62" s="31"/>
      <c r="M62" s="78"/>
      <c r="N62" s="78"/>
      <c r="O62" s="24"/>
      <c r="P62" s="24"/>
      <c r="Q62" s="24"/>
      <c r="R62" s="71"/>
      <c r="S62" s="71"/>
      <c r="T62" s="71"/>
      <c r="U62" s="71"/>
      <c r="V62" s="71"/>
      <c r="W62" s="71"/>
      <c r="X62" s="71"/>
      <c r="Y62" s="71"/>
      <c r="Z62" s="71"/>
      <c r="AA62" s="71"/>
      <c r="AB62" s="71"/>
      <c r="AC62" s="22"/>
      <c r="AD62" s="22"/>
      <c r="AE62" s="22"/>
      <c r="AF62" s="22"/>
      <c r="AG62" s="22"/>
      <c r="AH62" s="22"/>
      <c r="AI62" s="22"/>
      <c r="AJ62" s="22"/>
      <c r="AK62" s="22"/>
      <c r="AL62" s="22"/>
      <c r="AM62" s="22"/>
      <c r="AN62" s="22"/>
      <c r="AO62" s="22"/>
      <c r="AP62" s="22"/>
      <c r="AQ62" s="22"/>
      <c r="AR62" s="22"/>
      <c r="AS62" s="22"/>
    </row>
    <row r="63" spans="1:45" x14ac:dyDescent="0.3">
      <c r="A63" s="22"/>
      <c r="B63" s="71"/>
      <c r="C63" s="24"/>
      <c r="D63" s="31"/>
      <c r="E63" s="24"/>
      <c r="F63" s="24"/>
      <c r="G63" s="24"/>
      <c r="H63" s="31"/>
      <c r="I63" s="24"/>
      <c r="J63" s="24"/>
      <c r="K63" s="24"/>
      <c r="L63" s="31"/>
      <c r="M63" s="78"/>
      <c r="N63" s="78"/>
      <c r="O63" s="24"/>
      <c r="P63" s="24"/>
      <c r="Q63" s="24"/>
      <c r="R63" s="71"/>
      <c r="S63" s="71"/>
      <c r="T63" s="71"/>
      <c r="U63" s="71"/>
      <c r="V63" s="71"/>
      <c r="W63" s="71"/>
      <c r="X63" s="71"/>
      <c r="Y63" s="71"/>
      <c r="Z63" s="71"/>
      <c r="AA63" s="71"/>
      <c r="AB63" s="71"/>
      <c r="AC63" s="22"/>
      <c r="AD63" s="22"/>
      <c r="AE63" s="22"/>
      <c r="AF63" s="22"/>
      <c r="AG63" s="22"/>
      <c r="AH63" s="22"/>
      <c r="AI63" s="22"/>
      <c r="AJ63" s="22"/>
      <c r="AK63" s="22"/>
      <c r="AL63" s="22"/>
      <c r="AM63" s="22"/>
      <c r="AN63" s="22"/>
      <c r="AO63" s="22"/>
      <c r="AP63" s="22"/>
      <c r="AQ63" s="22"/>
      <c r="AR63" s="22"/>
      <c r="AS63" s="22"/>
    </row>
    <row r="64" spans="1:45" x14ac:dyDescent="0.3">
      <c r="A64" s="22"/>
      <c r="B64" s="71"/>
      <c r="C64" s="24"/>
      <c r="D64" s="31"/>
      <c r="E64" s="24"/>
      <c r="F64" s="24"/>
      <c r="G64" s="24"/>
      <c r="H64" s="31"/>
      <c r="I64" s="24"/>
      <c r="J64" s="24"/>
      <c r="K64" s="24"/>
      <c r="L64" s="31"/>
      <c r="M64" s="78"/>
      <c r="N64" s="78"/>
      <c r="O64" s="24"/>
      <c r="P64" s="24"/>
      <c r="Q64" s="24"/>
      <c r="R64" s="71"/>
      <c r="S64" s="71"/>
      <c r="T64" s="71"/>
      <c r="U64" s="71"/>
      <c r="V64" s="71"/>
      <c r="W64" s="71"/>
      <c r="X64" s="71"/>
      <c r="Y64" s="71"/>
      <c r="Z64" s="71"/>
      <c r="AA64" s="71"/>
      <c r="AB64" s="71"/>
      <c r="AC64" s="22"/>
      <c r="AD64" s="22"/>
      <c r="AE64" s="22"/>
      <c r="AF64" s="22"/>
      <c r="AG64" s="22"/>
      <c r="AH64" s="22"/>
      <c r="AI64" s="22"/>
      <c r="AJ64" s="22"/>
      <c r="AK64" s="22"/>
      <c r="AL64" s="22"/>
      <c r="AM64" s="22"/>
      <c r="AN64" s="22"/>
      <c r="AO64" s="22"/>
      <c r="AP64" s="22"/>
      <c r="AQ64" s="22"/>
      <c r="AR64" s="22"/>
      <c r="AS64" s="22"/>
    </row>
    <row r="65" spans="1:45" x14ac:dyDescent="0.3">
      <c r="A65" s="22"/>
      <c r="B65" s="71"/>
      <c r="C65" s="24"/>
      <c r="D65" s="31"/>
      <c r="E65" s="24"/>
      <c r="F65" s="24"/>
      <c r="G65" s="24"/>
      <c r="H65" s="31"/>
      <c r="I65" s="24"/>
      <c r="J65" s="24"/>
      <c r="K65" s="24"/>
      <c r="L65" s="31"/>
      <c r="M65" s="78"/>
      <c r="N65" s="78"/>
      <c r="O65" s="24"/>
      <c r="P65" s="24"/>
      <c r="Q65" s="24"/>
      <c r="R65" s="71"/>
      <c r="S65" s="71"/>
      <c r="T65" s="71"/>
      <c r="U65" s="71"/>
      <c r="V65" s="71"/>
      <c r="W65" s="71"/>
      <c r="X65" s="71"/>
      <c r="Y65" s="71"/>
      <c r="Z65" s="71"/>
      <c r="AA65" s="71"/>
      <c r="AB65" s="71"/>
      <c r="AC65" s="22"/>
      <c r="AD65" s="22"/>
      <c r="AE65" s="22"/>
      <c r="AF65" s="22"/>
      <c r="AG65" s="22"/>
      <c r="AH65" s="22"/>
      <c r="AI65" s="22"/>
      <c r="AJ65" s="22"/>
      <c r="AK65" s="22"/>
      <c r="AL65" s="22"/>
      <c r="AM65" s="22"/>
      <c r="AN65" s="22"/>
      <c r="AO65" s="22"/>
      <c r="AP65" s="22"/>
      <c r="AQ65" s="22"/>
      <c r="AR65" s="22"/>
      <c r="AS65" s="22"/>
    </row>
    <row r="66" spans="1:45" x14ac:dyDescent="0.3">
      <c r="A66" s="22"/>
      <c r="B66" s="71"/>
      <c r="C66" s="24"/>
      <c r="D66" s="31"/>
      <c r="E66" s="24"/>
      <c r="F66" s="24"/>
      <c r="G66" s="24"/>
      <c r="H66" s="31"/>
      <c r="I66" s="24"/>
      <c r="J66" s="24"/>
      <c r="K66" s="24"/>
      <c r="L66" s="31"/>
      <c r="M66" s="78"/>
      <c r="N66" s="78"/>
      <c r="O66" s="24"/>
      <c r="P66" s="24"/>
      <c r="Q66" s="24"/>
      <c r="R66" s="71"/>
      <c r="S66" s="71"/>
      <c r="T66" s="71"/>
      <c r="U66" s="71"/>
      <c r="V66" s="71"/>
      <c r="W66" s="71"/>
      <c r="X66" s="71"/>
      <c r="Y66" s="71"/>
      <c r="Z66" s="71"/>
      <c r="AA66" s="71"/>
      <c r="AB66" s="71"/>
      <c r="AC66" s="22"/>
      <c r="AD66" s="22"/>
      <c r="AE66" s="22"/>
      <c r="AF66" s="22"/>
      <c r="AG66" s="22"/>
      <c r="AH66" s="22"/>
      <c r="AI66" s="22"/>
      <c r="AJ66" s="22"/>
      <c r="AK66" s="22"/>
      <c r="AL66" s="22"/>
      <c r="AM66" s="22"/>
      <c r="AN66" s="22"/>
      <c r="AO66" s="22"/>
      <c r="AP66" s="22"/>
      <c r="AQ66" s="22"/>
      <c r="AR66" s="22"/>
      <c r="AS66" s="22"/>
    </row>
    <row r="67" spans="1:45" x14ac:dyDescent="0.3">
      <c r="A67" s="22"/>
      <c r="B67" s="71"/>
      <c r="C67" s="24"/>
      <c r="D67" s="31"/>
      <c r="E67" s="24"/>
      <c r="F67" s="24"/>
      <c r="G67" s="24"/>
      <c r="H67" s="31"/>
      <c r="I67" s="24"/>
      <c r="J67" s="24"/>
      <c r="K67" s="24"/>
      <c r="L67" s="31"/>
      <c r="M67" s="78"/>
      <c r="N67" s="78"/>
      <c r="O67" s="24"/>
      <c r="P67" s="24"/>
      <c r="Q67" s="24"/>
      <c r="R67" s="71"/>
      <c r="S67" s="71"/>
      <c r="T67" s="71"/>
      <c r="U67" s="71"/>
      <c r="V67" s="71"/>
      <c r="W67" s="71"/>
      <c r="X67" s="71"/>
      <c r="Y67" s="71"/>
      <c r="Z67" s="71"/>
      <c r="AA67" s="71"/>
      <c r="AB67" s="71"/>
      <c r="AC67" s="22"/>
      <c r="AD67" s="22"/>
      <c r="AE67" s="22"/>
      <c r="AF67" s="22"/>
      <c r="AG67" s="22"/>
      <c r="AH67" s="22"/>
      <c r="AI67" s="22"/>
      <c r="AJ67" s="22"/>
      <c r="AK67" s="22"/>
      <c r="AL67" s="22"/>
      <c r="AM67" s="22"/>
      <c r="AN67" s="22"/>
      <c r="AO67" s="22"/>
      <c r="AP67" s="22"/>
      <c r="AQ67" s="22"/>
      <c r="AR67" s="22"/>
      <c r="AS67" s="22"/>
    </row>
    <row r="68" spans="1:45" x14ac:dyDescent="0.3">
      <c r="A68" s="22"/>
      <c r="B68" s="71"/>
      <c r="C68" s="24"/>
      <c r="D68" s="31"/>
      <c r="E68" s="24"/>
      <c r="F68" s="24"/>
      <c r="G68" s="24"/>
      <c r="H68" s="31"/>
      <c r="I68" s="24"/>
      <c r="J68" s="24"/>
      <c r="K68" s="24"/>
      <c r="L68" s="31"/>
      <c r="M68" s="78"/>
      <c r="N68" s="78"/>
      <c r="O68" s="24"/>
      <c r="P68" s="24"/>
      <c r="Q68" s="24"/>
      <c r="R68" s="71"/>
      <c r="S68" s="71"/>
      <c r="T68" s="71"/>
      <c r="U68" s="71"/>
      <c r="V68" s="71"/>
      <c r="W68" s="71"/>
      <c r="X68" s="71"/>
      <c r="Y68" s="71"/>
      <c r="Z68" s="71"/>
      <c r="AA68" s="71"/>
      <c r="AB68" s="71"/>
      <c r="AC68" s="22"/>
      <c r="AD68" s="22"/>
      <c r="AE68" s="22"/>
      <c r="AF68" s="22"/>
      <c r="AG68" s="22"/>
      <c r="AH68" s="22"/>
      <c r="AI68" s="22"/>
      <c r="AJ68" s="22"/>
      <c r="AK68" s="22"/>
      <c r="AL68" s="22"/>
      <c r="AM68" s="22"/>
      <c r="AN68" s="22"/>
      <c r="AO68" s="22"/>
      <c r="AP68" s="22"/>
      <c r="AQ68" s="22"/>
      <c r="AR68" s="22"/>
      <c r="AS68" s="22"/>
    </row>
    <row r="69" spans="1:45" x14ac:dyDescent="0.3">
      <c r="A69" s="22"/>
      <c r="B69" s="71"/>
      <c r="C69" s="22"/>
      <c r="D69" s="23"/>
      <c r="E69" s="22"/>
      <c r="F69" s="22"/>
      <c r="G69" s="22"/>
      <c r="H69" s="23"/>
      <c r="I69" s="22"/>
      <c r="J69" s="22"/>
      <c r="K69" s="22"/>
      <c r="L69" s="23"/>
      <c r="M69" s="71"/>
      <c r="N69" s="71"/>
      <c r="O69" s="22"/>
      <c r="P69" s="22"/>
      <c r="Q69" s="22"/>
      <c r="R69" s="71"/>
      <c r="S69" s="71"/>
      <c r="T69" s="71"/>
      <c r="U69" s="71"/>
      <c r="V69" s="71"/>
      <c r="W69" s="71"/>
      <c r="X69" s="71"/>
      <c r="Y69" s="71"/>
      <c r="Z69" s="71"/>
      <c r="AA69" s="71"/>
      <c r="AB69" s="71"/>
      <c r="AC69" s="22"/>
      <c r="AD69" s="22"/>
      <c r="AE69" s="22"/>
      <c r="AF69" s="22"/>
      <c r="AG69" s="22"/>
      <c r="AH69" s="22"/>
      <c r="AI69" s="22"/>
      <c r="AJ69" s="22"/>
      <c r="AK69" s="22"/>
      <c r="AL69" s="22"/>
      <c r="AM69" s="22"/>
      <c r="AN69" s="22"/>
      <c r="AO69" s="22"/>
      <c r="AP69" s="22"/>
      <c r="AQ69" s="22"/>
      <c r="AR69" s="22"/>
      <c r="AS69" s="22"/>
    </row>
    <row r="70" spans="1:45" x14ac:dyDescent="0.3">
      <c r="A70" s="22"/>
      <c r="B70" s="71"/>
      <c r="C70" s="22"/>
      <c r="D70" s="23"/>
      <c r="E70" s="22"/>
      <c r="F70" s="22"/>
      <c r="G70" s="22"/>
      <c r="H70" s="23"/>
      <c r="I70" s="22"/>
      <c r="J70" s="22"/>
      <c r="K70" s="22"/>
      <c r="L70" s="23"/>
      <c r="M70" s="71"/>
      <c r="N70" s="71"/>
      <c r="O70" s="22"/>
      <c r="P70" s="22"/>
      <c r="Q70" s="22"/>
      <c r="R70" s="71"/>
      <c r="S70" s="71"/>
      <c r="T70" s="71"/>
      <c r="U70" s="71"/>
      <c r="V70" s="71"/>
      <c r="W70" s="71"/>
      <c r="X70" s="71"/>
      <c r="Y70" s="71"/>
      <c r="Z70" s="71"/>
      <c r="AA70" s="71"/>
      <c r="AB70" s="71"/>
      <c r="AC70" s="22"/>
      <c r="AD70" s="22"/>
      <c r="AE70" s="22"/>
      <c r="AF70" s="22"/>
      <c r="AG70" s="22"/>
      <c r="AH70" s="22"/>
      <c r="AI70" s="22"/>
      <c r="AJ70" s="22"/>
      <c r="AK70" s="22"/>
      <c r="AL70" s="22"/>
      <c r="AM70" s="22"/>
      <c r="AN70" s="22"/>
      <c r="AO70" s="22"/>
      <c r="AP70" s="22"/>
      <c r="AQ70" s="22"/>
      <c r="AR70" s="22"/>
      <c r="AS70" s="22"/>
    </row>
    <row r="71" spans="1:45" x14ac:dyDescent="0.3">
      <c r="A71" s="22"/>
      <c r="B71" s="71"/>
      <c r="C71" s="22"/>
      <c r="D71" s="23"/>
      <c r="E71" s="22"/>
      <c r="F71" s="22"/>
      <c r="G71" s="22"/>
      <c r="H71" s="23"/>
      <c r="I71" s="22"/>
      <c r="J71" s="22"/>
      <c r="K71" s="22"/>
      <c r="L71" s="23"/>
      <c r="M71" s="71"/>
      <c r="N71" s="71"/>
      <c r="O71" s="22"/>
      <c r="P71" s="22"/>
      <c r="Q71" s="22"/>
      <c r="R71" s="71"/>
      <c r="S71" s="71"/>
      <c r="T71" s="71"/>
      <c r="U71" s="71"/>
      <c r="V71" s="71"/>
      <c r="W71" s="71"/>
      <c r="X71" s="71"/>
      <c r="Y71" s="71"/>
      <c r="Z71" s="71"/>
      <c r="AA71" s="71"/>
      <c r="AB71" s="71"/>
      <c r="AC71" s="22"/>
      <c r="AD71" s="22"/>
      <c r="AE71" s="22"/>
      <c r="AF71" s="22"/>
      <c r="AG71" s="22"/>
      <c r="AH71" s="22"/>
      <c r="AI71" s="22"/>
      <c r="AJ71" s="22"/>
      <c r="AK71" s="22"/>
      <c r="AL71" s="22"/>
      <c r="AM71" s="22"/>
      <c r="AN71" s="22"/>
      <c r="AO71" s="22"/>
      <c r="AP71" s="22"/>
      <c r="AQ71" s="22"/>
      <c r="AR71" s="22"/>
      <c r="AS71" s="22"/>
    </row>
    <row r="72" spans="1:45" x14ac:dyDescent="0.3">
      <c r="A72" s="22"/>
      <c r="B72" s="71"/>
      <c r="C72" s="22"/>
      <c r="D72" s="23"/>
      <c r="E72" s="22"/>
      <c r="F72" s="22"/>
      <c r="G72" s="22"/>
      <c r="H72" s="23"/>
      <c r="I72" s="22"/>
      <c r="J72" s="22"/>
      <c r="K72" s="22"/>
      <c r="L72" s="23"/>
      <c r="M72" s="71"/>
      <c r="N72" s="71"/>
      <c r="O72" s="22"/>
      <c r="P72" s="22"/>
      <c r="Q72" s="22"/>
      <c r="R72" s="71"/>
      <c r="S72" s="71"/>
      <c r="T72" s="71"/>
      <c r="U72" s="71"/>
      <c r="V72" s="71"/>
      <c r="W72" s="71"/>
      <c r="X72" s="71"/>
      <c r="Y72" s="71"/>
      <c r="Z72" s="71"/>
      <c r="AA72" s="71"/>
      <c r="AB72" s="71"/>
      <c r="AC72" s="22"/>
      <c r="AD72" s="22"/>
      <c r="AE72" s="22"/>
      <c r="AF72" s="22"/>
      <c r="AG72" s="22"/>
      <c r="AH72" s="22"/>
      <c r="AI72" s="22"/>
      <c r="AJ72" s="22"/>
      <c r="AK72" s="22"/>
      <c r="AL72" s="22"/>
      <c r="AM72" s="22"/>
      <c r="AN72" s="22"/>
      <c r="AO72" s="22"/>
      <c r="AP72" s="22"/>
      <c r="AQ72" s="22"/>
      <c r="AR72" s="22"/>
      <c r="AS72" s="22"/>
    </row>
    <row r="73" spans="1:45" x14ac:dyDescent="0.3">
      <c r="A73" s="22"/>
      <c r="B73" s="71"/>
      <c r="C73" s="22"/>
      <c r="D73" s="23"/>
      <c r="E73" s="22"/>
      <c r="F73" s="22"/>
      <c r="G73" s="22"/>
      <c r="H73" s="23"/>
      <c r="I73" s="22"/>
      <c r="J73" s="22"/>
      <c r="K73" s="22"/>
      <c r="L73" s="23"/>
      <c r="M73" s="71"/>
      <c r="N73" s="71"/>
      <c r="O73" s="22"/>
      <c r="P73" s="22"/>
      <c r="Q73" s="22"/>
      <c r="R73" s="71"/>
      <c r="S73" s="71"/>
      <c r="T73" s="71"/>
      <c r="U73" s="71"/>
      <c r="V73" s="71"/>
      <c r="W73" s="71"/>
      <c r="X73" s="71"/>
      <c r="Y73" s="71"/>
      <c r="Z73" s="71"/>
      <c r="AA73" s="71"/>
      <c r="AB73" s="71"/>
      <c r="AC73" s="22"/>
      <c r="AD73" s="22"/>
      <c r="AE73" s="22"/>
      <c r="AF73" s="22"/>
      <c r="AG73" s="22"/>
      <c r="AH73" s="22"/>
      <c r="AI73" s="22"/>
      <c r="AJ73" s="22"/>
      <c r="AK73" s="22"/>
      <c r="AL73" s="22"/>
      <c r="AM73" s="22"/>
      <c r="AN73" s="22"/>
      <c r="AO73" s="22"/>
      <c r="AP73" s="22"/>
      <c r="AQ73" s="22"/>
      <c r="AR73" s="22"/>
      <c r="AS73" s="22"/>
    </row>
    <row r="74" spans="1:45" x14ac:dyDescent="0.3">
      <c r="A74" s="22"/>
      <c r="B74" s="71"/>
      <c r="C74" s="22"/>
      <c r="D74" s="23"/>
      <c r="E74" s="22"/>
      <c r="F74" s="22"/>
      <c r="G74" s="22"/>
      <c r="H74" s="23"/>
      <c r="I74" s="22"/>
      <c r="J74" s="22"/>
      <c r="K74" s="22"/>
      <c r="L74" s="23"/>
      <c r="M74" s="71"/>
      <c r="N74" s="71"/>
      <c r="O74" s="22"/>
      <c r="P74" s="22"/>
      <c r="Q74" s="22"/>
      <c r="R74" s="71"/>
      <c r="S74" s="71"/>
      <c r="T74" s="71"/>
      <c r="U74" s="71"/>
      <c r="V74" s="71"/>
      <c r="W74" s="71"/>
      <c r="X74" s="71"/>
      <c r="Y74" s="71"/>
      <c r="Z74" s="71"/>
      <c r="AA74" s="71"/>
      <c r="AB74" s="71"/>
      <c r="AC74" s="22"/>
      <c r="AD74" s="22"/>
      <c r="AE74" s="22"/>
      <c r="AF74" s="22"/>
      <c r="AG74" s="22"/>
      <c r="AH74" s="22"/>
      <c r="AI74" s="22"/>
      <c r="AJ74" s="22"/>
      <c r="AK74" s="22"/>
      <c r="AL74" s="22"/>
      <c r="AM74" s="22"/>
      <c r="AN74" s="22"/>
      <c r="AO74" s="22"/>
      <c r="AP74" s="22"/>
      <c r="AQ74" s="22"/>
      <c r="AR74" s="22"/>
      <c r="AS74" s="22"/>
    </row>
    <row r="75" spans="1:45" x14ac:dyDescent="0.3">
      <c r="A75" s="22"/>
      <c r="B75" s="71"/>
      <c r="C75" s="22"/>
      <c r="D75" s="23"/>
      <c r="E75" s="22"/>
      <c r="F75" s="22"/>
      <c r="G75" s="22"/>
      <c r="H75" s="23"/>
      <c r="I75" s="22"/>
      <c r="J75" s="22"/>
      <c r="K75" s="22"/>
      <c r="L75" s="23"/>
      <c r="M75" s="71"/>
      <c r="N75" s="71"/>
      <c r="O75" s="22"/>
      <c r="P75" s="22"/>
      <c r="Q75" s="22"/>
      <c r="R75" s="71"/>
      <c r="S75" s="71"/>
      <c r="T75" s="71"/>
      <c r="U75" s="71"/>
      <c r="V75" s="71"/>
      <c r="W75" s="71"/>
      <c r="X75" s="71"/>
      <c r="Y75" s="71"/>
      <c r="Z75" s="71"/>
      <c r="AA75" s="71"/>
      <c r="AB75" s="71"/>
      <c r="AC75" s="22"/>
      <c r="AD75" s="22"/>
      <c r="AE75" s="22"/>
      <c r="AF75" s="22"/>
      <c r="AG75" s="22"/>
      <c r="AH75" s="22"/>
      <c r="AI75" s="22"/>
      <c r="AJ75" s="22"/>
      <c r="AK75" s="22"/>
      <c r="AL75" s="22"/>
      <c r="AM75" s="22"/>
      <c r="AN75" s="22"/>
      <c r="AO75" s="22"/>
      <c r="AP75" s="22"/>
      <c r="AQ75" s="22"/>
      <c r="AR75" s="22"/>
      <c r="AS75" s="22"/>
    </row>
    <row r="76" spans="1:45" x14ac:dyDescent="0.3">
      <c r="A76" s="22"/>
      <c r="B76" s="71"/>
      <c r="C76" s="22"/>
      <c r="D76" s="23"/>
      <c r="E76" s="22"/>
      <c r="F76" s="22"/>
      <c r="G76" s="22"/>
      <c r="H76" s="23"/>
      <c r="I76" s="22"/>
      <c r="J76" s="22"/>
      <c r="K76" s="22"/>
      <c r="L76" s="23"/>
      <c r="M76" s="71"/>
      <c r="N76" s="71"/>
      <c r="O76" s="22"/>
      <c r="P76" s="22"/>
      <c r="Q76" s="22"/>
      <c r="R76" s="71"/>
      <c r="S76" s="71"/>
      <c r="T76" s="71"/>
      <c r="U76" s="71"/>
      <c r="V76" s="71"/>
      <c r="W76" s="71"/>
      <c r="X76" s="71"/>
      <c r="Y76" s="71"/>
      <c r="Z76" s="71"/>
      <c r="AA76" s="71"/>
      <c r="AB76" s="71"/>
      <c r="AC76" s="22"/>
      <c r="AD76" s="22"/>
      <c r="AE76" s="22"/>
      <c r="AF76" s="22"/>
      <c r="AG76" s="22"/>
      <c r="AH76" s="22"/>
      <c r="AI76" s="22"/>
      <c r="AJ76" s="22"/>
      <c r="AK76" s="22"/>
      <c r="AL76" s="22"/>
      <c r="AM76" s="22"/>
      <c r="AN76" s="22"/>
      <c r="AO76" s="22"/>
      <c r="AP76" s="22"/>
      <c r="AQ76" s="22"/>
      <c r="AR76" s="22"/>
      <c r="AS76" s="22"/>
    </row>
    <row r="77" spans="1:45" x14ac:dyDescent="0.3">
      <c r="A77" s="22"/>
      <c r="B77" s="71"/>
      <c r="C77" s="22"/>
      <c r="D77" s="23"/>
      <c r="E77" s="22"/>
      <c r="F77" s="22"/>
      <c r="G77" s="22"/>
      <c r="H77" s="23"/>
      <c r="I77" s="22"/>
      <c r="J77" s="22"/>
      <c r="K77" s="22"/>
      <c r="L77" s="23"/>
      <c r="M77" s="71"/>
      <c r="N77" s="71"/>
      <c r="O77" s="22"/>
      <c r="P77" s="22"/>
      <c r="Q77" s="22"/>
      <c r="R77" s="71"/>
      <c r="S77" s="71"/>
      <c r="T77" s="71"/>
      <c r="U77" s="71"/>
      <c r="V77" s="71"/>
      <c r="W77" s="71"/>
      <c r="X77" s="71"/>
      <c r="Y77" s="71"/>
      <c r="Z77" s="71"/>
      <c r="AA77" s="71"/>
      <c r="AB77" s="71"/>
      <c r="AC77" s="22"/>
      <c r="AD77" s="22"/>
      <c r="AE77" s="22"/>
      <c r="AF77" s="22"/>
      <c r="AG77" s="22"/>
      <c r="AH77" s="22"/>
      <c r="AI77" s="22"/>
      <c r="AJ77" s="22"/>
      <c r="AK77" s="22"/>
      <c r="AL77" s="22"/>
      <c r="AM77" s="22"/>
      <c r="AN77" s="22"/>
      <c r="AO77" s="22"/>
      <c r="AP77" s="22"/>
      <c r="AQ77" s="22"/>
      <c r="AR77" s="22"/>
      <c r="AS77" s="22"/>
    </row>
    <row r="78" spans="1:45" x14ac:dyDescent="0.3">
      <c r="A78" s="22"/>
      <c r="B78" s="71"/>
      <c r="C78" s="22"/>
      <c r="D78" s="23"/>
      <c r="E78" s="22"/>
      <c r="F78" s="22"/>
      <c r="G78" s="22"/>
      <c r="H78" s="23"/>
      <c r="I78" s="22"/>
      <c r="J78" s="22"/>
      <c r="K78" s="22"/>
      <c r="L78" s="23"/>
      <c r="M78" s="71"/>
      <c r="N78" s="71"/>
      <c r="O78" s="22"/>
      <c r="P78" s="22"/>
      <c r="Q78" s="22"/>
      <c r="R78" s="71"/>
      <c r="S78" s="71"/>
      <c r="T78" s="71"/>
      <c r="U78" s="71"/>
      <c r="V78" s="71"/>
      <c r="W78" s="71"/>
      <c r="X78" s="71"/>
      <c r="Y78" s="71"/>
      <c r="Z78" s="71"/>
      <c r="AA78" s="71"/>
      <c r="AB78" s="71"/>
      <c r="AC78" s="22"/>
      <c r="AD78" s="22"/>
      <c r="AE78" s="22"/>
      <c r="AF78" s="22"/>
      <c r="AG78" s="22"/>
      <c r="AH78" s="22"/>
      <c r="AI78" s="22"/>
      <c r="AJ78" s="22"/>
      <c r="AK78" s="22"/>
      <c r="AL78" s="22"/>
      <c r="AM78" s="22"/>
      <c r="AN78" s="22"/>
      <c r="AO78" s="22"/>
      <c r="AP78" s="22"/>
      <c r="AQ78" s="22"/>
      <c r="AR78" s="22"/>
      <c r="AS78" s="22"/>
    </row>
    <row r="79" spans="1:45" x14ac:dyDescent="0.3">
      <c r="A79" s="22"/>
      <c r="B79" s="71"/>
      <c r="C79" s="22"/>
      <c r="D79" s="23"/>
      <c r="E79" s="22"/>
      <c r="F79" s="22"/>
      <c r="G79" s="22"/>
      <c r="H79" s="23"/>
      <c r="I79" s="22"/>
      <c r="J79" s="22"/>
      <c r="K79" s="22"/>
      <c r="L79" s="23"/>
      <c r="M79" s="71"/>
      <c r="N79" s="71"/>
      <c r="O79" s="22"/>
      <c r="P79" s="22"/>
      <c r="Q79" s="22"/>
      <c r="R79" s="71"/>
      <c r="S79" s="71"/>
      <c r="T79" s="71"/>
      <c r="U79" s="71"/>
      <c r="V79" s="71"/>
      <c r="W79" s="71"/>
      <c r="X79" s="71"/>
      <c r="Y79" s="71"/>
      <c r="Z79" s="71"/>
      <c r="AA79" s="71"/>
      <c r="AB79" s="71"/>
      <c r="AC79" s="22"/>
      <c r="AD79" s="22"/>
      <c r="AE79" s="22"/>
      <c r="AF79" s="22"/>
      <c r="AG79" s="22"/>
      <c r="AH79" s="22"/>
      <c r="AI79" s="22"/>
      <c r="AJ79" s="22"/>
      <c r="AK79" s="22"/>
      <c r="AL79" s="22"/>
      <c r="AM79" s="22"/>
      <c r="AN79" s="22"/>
      <c r="AO79" s="22"/>
      <c r="AP79" s="22"/>
      <c r="AQ79" s="22"/>
      <c r="AR79" s="22"/>
      <c r="AS79" s="22"/>
    </row>
    <row r="80" spans="1:45" x14ac:dyDescent="0.3">
      <c r="A80" s="22"/>
      <c r="B80" s="71"/>
      <c r="C80" s="22"/>
      <c r="D80" s="23"/>
      <c r="E80" s="22"/>
      <c r="F80" s="22"/>
      <c r="G80" s="22"/>
      <c r="H80" s="23"/>
      <c r="I80" s="22"/>
      <c r="J80" s="22"/>
      <c r="K80" s="22"/>
      <c r="L80" s="23"/>
      <c r="M80" s="71"/>
      <c r="N80" s="71"/>
      <c r="O80" s="22"/>
      <c r="P80" s="22"/>
      <c r="Q80" s="22"/>
      <c r="R80" s="71"/>
      <c r="S80" s="71"/>
      <c r="T80" s="71"/>
      <c r="U80" s="71"/>
      <c r="V80" s="71"/>
      <c r="W80" s="71"/>
      <c r="X80" s="71"/>
      <c r="Y80" s="71"/>
      <c r="Z80" s="71"/>
      <c r="AA80" s="71"/>
      <c r="AB80" s="71"/>
      <c r="AC80" s="22"/>
      <c r="AD80" s="22"/>
      <c r="AE80" s="22"/>
      <c r="AF80" s="22"/>
      <c r="AG80" s="22"/>
      <c r="AH80" s="22"/>
      <c r="AI80" s="22"/>
      <c r="AJ80" s="22"/>
      <c r="AK80" s="22"/>
      <c r="AL80" s="22"/>
      <c r="AM80" s="22"/>
      <c r="AN80" s="22"/>
      <c r="AO80" s="22"/>
      <c r="AP80" s="22"/>
      <c r="AQ80" s="22"/>
      <c r="AR80" s="22"/>
      <c r="AS80" s="22"/>
    </row>
    <row r="81" spans="1:45" x14ac:dyDescent="0.3">
      <c r="A81" s="22"/>
      <c r="B81" s="71"/>
      <c r="C81" s="22"/>
      <c r="D81" s="23"/>
      <c r="E81" s="22"/>
      <c r="F81" s="22"/>
      <c r="G81" s="22"/>
      <c r="H81" s="23"/>
      <c r="I81" s="22"/>
      <c r="J81" s="22"/>
      <c r="K81" s="22"/>
      <c r="L81" s="23"/>
      <c r="M81" s="71"/>
      <c r="N81" s="71"/>
      <c r="O81" s="22"/>
      <c r="P81" s="22"/>
      <c r="Q81" s="22"/>
      <c r="R81" s="71"/>
      <c r="S81" s="71"/>
      <c r="T81" s="71"/>
      <c r="U81" s="71"/>
      <c r="V81" s="71"/>
      <c r="W81" s="71"/>
      <c r="X81" s="71"/>
      <c r="Y81" s="71"/>
      <c r="Z81" s="71"/>
      <c r="AA81" s="71"/>
      <c r="AB81" s="71"/>
      <c r="AC81" s="22"/>
      <c r="AD81" s="22"/>
      <c r="AE81" s="22"/>
      <c r="AF81" s="22"/>
      <c r="AG81" s="22"/>
      <c r="AH81" s="22"/>
      <c r="AI81" s="22"/>
      <c r="AJ81" s="22"/>
      <c r="AK81" s="22"/>
      <c r="AL81" s="22"/>
      <c r="AM81" s="22"/>
      <c r="AN81" s="22"/>
      <c r="AO81" s="22"/>
      <c r="AP81" s="22"/>
      <c r="AQ81" s="22"/>
      <c r="AR81" s="22"/>
      <c r="AS81" s="22"/>
    </row>
    <row r="82" spans="1:45" x14ac:dyDescent="0.3">
      <c r="A82" s="22"/>
      <c r="B82" s="71"/>
      <c r="C82" s="22"/>
      <c r="D82" s="23"/>
      <c r="E82" s="22"/>
      <c r="F82" s="22"/>
      <c r="G82" s="22"/>
      <c r="H82" s="23"/>
      <c r="I82" s="22"/>
      <c r="J82" s="22"/>
      <c r="K82" s="22"/>
      <c r="L82" s="23"/>
      <c r="M82" s="71"/>
      <c r="N82" s="71"/>
      <c r="O82" s="22"/>
      <c r="P82" s="22"/>
      <c r="Q82" s="22"/>
      <c r="R82" s="71"/>
      <c r="S82" s="71"/>
      <c r="T82" s="71"/>
      <c r="U82" s="71"/>
      <c r="V82" s="71"/>
      <c r="W82" s="71"/>
      <c r="X82" s="71"/>
      <c r="Y82" s="71"/>
      <c r="Z82" s="71"/>
      <c r="AA82" s="71"/>
      <c r="AB82" s="71"/>
      <c r="AC82" s="22"/>
      <c r="AD82" s="22"/>
      <c r="AE82" s="22"/>
      <c r="AF82" s="22"/>
      <c r="AG82" s="22"/>
      <c r="AH82" s="22"/>
      <c r="AI82" s="22"/>
      <c r="AJ82" s="22"/>
      <c r="AK82" s="22"/>
      <c r="AL82" s="22"/>
      <c r="AM82" s="22"/>
      <c r="AN82" s="22"/>
      <c r="AO82" s="22"/>
      <c r="AP82" s="22"/>
      <c r="AQ82" s="22"/>
      <c r="AR82" s="22"/>
      <c r="AS82" s="22"/>
    </row>
    <row r="83" spans="1:45" x14ac:dyDescent="0.3">
      <c r="A83" s="22"/>
      <c r="B83" s="71"/>
      <c r="C83" s="22"/>
      <c r="D83" s="23"/>
      <c r="E83" s="22"/>
      <c r="F83" s="22"/>
      <c r="G83" s="22"/>
      <c r="H83" s="23"/>
      <c r="I83" s="22"/>
      <c r="J83" s="22"/>
      <c r="K83" s="22"/>
      <c r="L83" s="23"/>
      <c r="M83" s="71"/>
      <c r="N83" s="71"/>
      <c r="O83" s="22"/>
      <c r="P83" s="22"/>
      <c r="Q83" s="22"/>
      <c r="R83" s="71"/>
      <c r="S83" s="71"/>
      <c r="T83" s="71"/>
      <c r="U83" s="71"/>
      <c r="V83" s="71"/>
      <c r="W83" s="71"/>
      <c r="X83" s="71"/>
      <c r="Y83" s="71"/>
      <c r="Z83" s="71"/>
      <c r="AA83" s="71"/>
      <c r="AB83" s="71"/>
      <c r="AC83" s="22"/>
      <c r="AD83" s="22"/>
      <c r="AE83" s="22"/>
      <c r="AF83" s="22"/>
      <c r="AG83" s="22"/>
      <c r="AH83" s="22"/>
      <c r="AI83" s="22"/>
      <c r="AJ83" s="22"/>
      <c r="AK83" s="22"/>
      <c r="AL83" s="22"/>
      <c r="AM83" s="22"/>
      <c r="AN83" s="22"/>
      <c r="AO83" s="22"/>
      <c r="AP83" s="22"/>
      <c r="AQ83" s="22"/>
      <c r="AR83" s="22"/>
      <c r="AS83" s="22"/>
    </row>
    <row r="84" spans="1:45" x14ac:dyDescent="0.3">
      <c r="A84" s="22"/>
      <c r="B84" s="71"/>
      <c r="C84" s="22"/>
      <c r="D84" s="23"/>
      <c r="E84" s="22"/>
      <c r="F84" s="22"/>
      <c r="G84" s="22"/>
      <c r="H84" s="23"/>
      <c r="I84" s="22"/>
      <c r="J84" s="22"/>
      <c r="K84" s="22"/>
      <c r="L84" s="23"/>
      <c r="M84" s="71"/>
      <c r="N84" s="71"/>
      <c r="O84" s="22"/>
      <c r="P84" s="22"/>
      <c r="Q84" s="22"/>
      <c r="R84" s="71"/>
      <c r="S84" s="71"/>
      <c r="T84" s="71"/>
      <c r="U84" s="71"/>
      <c r="V84" s="71"/>
      <c r="W84" s="71"/>
      <c r="X84" s="71"/>
      <c r="Y84" s="71"/>
      <c r="Z84" s="71"/>
      <c r="AA84" s="71"/>
      <c r="AB84" s="71"/>
      <c r="AC84" s="22"/>
      <c r="AD84" s="22"/>
      <c r="AE84" s="22"/>
      <c r="AF84" s="22"/>
      <c r="AG84" s="22"/>
      <c r="AH84" s="22"/>
      <c r="AI84" s="22"/>
      <c r="AJ84" s="22"/>
      <c r="AK84" s="22"/>
      <c r="AL84" s="22"/>
      <c r="AM84" s="22"/>
      <c r="AN84" s="22"/>
      <c r="AO84" s="22"/>
      <c r="AP84" s="22"/>
      <c r="AQ84" s="22"/>
      <c r="AR84" s="22"/>
      <c r="AS84" s="22"/>
    </row>
    <row r="85" spans="1:45" x14ac:dyDescent="0.3">
      <c r="A85" s="22"/>
      <c r="B85" s="71"/>
      <c r="C85" s="22"/>
      <c r="D85" s="23"/>
      <c r="E85" s="22"/>
      <c r="F85" s="22"/>
      <c r="G85" s="22"/>
      <c r="H85" s="23"/>
      <c r="I85" s="22"/>
      <c r="J85" s="22"/>
      <c r="K85" s="22"/>
      <c r="L85" s="23"/>
      <c r="M85" s="71"/>
      <c r="N85" s="71"/>
      <c r="O85" s="22"/>
      <c r="P85" s="22"/>
      <c r="Q85" s="22"/>
      <c r="R85" s="71"/>
      <c r="S85" s="71"/>
      <c r="T85" s="71"/>
      <c r="U85" s="71"/>
      <c r="V85" s="71"/>
      <c r="W85" s="71"/>
      <c r="X85" s="71"/>
      <c r="Y85" s="71"/>
      <c r="Z85" s="71"/>
      <c r="AA85" s="71"/>
      <c r="AB85" s="71"/>
      <c r="AC85" s="22"/>
      <c r="AD85" s="22"/>
      <c r="AE85" s="22"/>
      <c r="AF85" s="22"/>
      <c r="AG85" s="22"/>
      <c r="AH85" s="22"/>
      <c r="AI85" s="22"/>
      <c r="AJ85" s="22"/>
      <c r="AK85" s="22"/>
      <c r="AL85" s="22"/>
      <c r="AM85" s="22"/>
      <c r="AN85" s="22"/>
      <c r="AO85" s="22"/>
      <c r="AP85" s="22"/>
      <c r="AQ85" s="22"/>
      <c r="AR85" s="22"/>
      <c r="AS85" s="22"/>
    </row>
    <row r="86" spans="1:45" x14ac:dyDescent="0.3">
      <c r="A86" s="22"/>
      <c r="B86" s="71"/>
      <c r="C86" s="22"/>
      <c r="D86" s="23"/>
      <c r="E86" s="22"/>
      <c r="F86" s="22"/>
      <c r="G86" s="22"/>
      <c r="H86" s="23"/>
      <c r="I86" s="22"/>
      <c r="J86" s="22"/>
      <c r="K86" s="22"/>
      <c r="L86" s="23"/>
      <c r="M86" s="71"/>
      <c r="N86" s="71"/>
      <c r="O86" s="22"/>
      <c r="P86" s="22"/>
      <c r="Q86" s="22"/>
      <c r="R86" s="71"/>
      <c r="S86" s="71"/>
      <c r="T86" s="71"/>
      <c r="U86" s="71"/>
      <c r="V86" s="71"/>
      <c r="W86" s="71"/>
      <c r="X86" s="71"/>
      <c r="Y86" s="71"/>
      <c r="Z86" s="71"/>
      <c r="AA86" s="71"/>
      <c r="AB86" s="71"/>
      <c r="AC86" s="22"/>
      <c r="AD86" s="22"/>
      <c r="AE86" s="22"/>
      <c r="AF86" s="22"/>
      <c r="AG86" s="22"/>
      <c r="AH86" s="22"/>
      <c r="AI86" s="22"/>
      <c r="AJ86" s="22"/>
      <c r="AK86" s="22"/>
      <c r="AL86" s="22"/>
      <c r="AM86" s="22"/>
      <c r="AN86" s="22"/>
      <c r="AO86" s="22"/>
      <c r="AP86" s="22"/>
      <c r="AQ86" s="22"/>
      <c r="AR86" s="22"/>
      <c r="AS86" s="22"/>
    </row>
    <row r="87" spans="1:45" x14ac:dyDescent="0.3">
      <c r="A87" s="22"/>
      <c r="B87" s="71"/>
      <c r="C87" s="22"/>
      <c r="D87" s="23"/>
      <c r="E87" s="22"/>
      <c r="F87" s="22"/>
      <c r="G87" s="22"/>
      <c r="H87" s="23"/>
      <c r="I87" s="22"/>
      <c r="J87" s="22"/>
      <c r="K87" s="22"/>
      <c r="L87" s="23"/>
      <c r="M87" s="71"/>
      <c r="N87" s="71"/>
      <c r="O87" s="22"/>
      <c r="P87" s="22"/>
      <c r="Q87" s="22"/>
      <c r="R87" s="71"/>
      <c r="S87" s="71"/>
      <c r="T87" s="71"/>
      <c r="U87" s="71"/>
      <c r="V87" s="71"/>
      <c r="W87" s="71"/>
      <c r="X87" s="71"/>
      <c r="Y87" s="71"/>
      <c r="Z87" s="71"/>
      <c r="AA87" s="71"/>
      <c r="AB87" s="71"/>
      <c r="AC87" s="22"/>
      <c r="AD87" s="22"/>
      <c r="AE87" s="22"/>
      <c r="AF87" s="22"/>
      <c r="AG87" s="22"/>
      <c r="AH87" s="22"/>
      <c r="AI87" s="22"/>
      <c r="AJ87" s="22"/>
      <c r="AK87" s="22"/>
      <c r="AL87" s="22"/>
      <c r="AM87" s="22"/>
      <c r="AN87" s="22"/>
      <c r="AO87" s="22"/>
      <c r="AP87" s="22"/>
      <c r="AQ87" s="22"/>
      <c r="AR87" s="22"/>
      <c r="AS87" s="22"/>
    </row>
    <row r="88" spans="1:45" x14ac:dyDescent="0.3">
      <c r="A88" s="22"/>
      <c r="B88" s="71"/>
      <c r="C88" s="22"/>
      <c r="D88" s="23"/>
      <c r="E88" s="22"/>
      <c r="F88" s="22"/>
      <c r="G88" s="22"/>
      <c r="H88" s="23"/>
      <c r="I88" s="22"/>
      <c r="J88" s="22"/>
      <c r="K88" s="22"/>
      <c r="L88" s="23"/>
      <c r="M88" s="71"/>
      <c r="N88" s="71"/>
      <c r="O88" s="22"/>
      <c r="P88" s="22"/>
      <c r="Q88" s="22"/>
      <c r="R88" s="71"/>
      <c r="S88" s="71"/>
      <c r="T88" s="71"/>
      <c r="U88" s="71"/>
      <c r="V88" s="71"/>
      <c r="W88" s="71"/>
      <c r="X88" s="71"/>
      <c r="Y88" s="71"/>
      <c r="Z88" s="71"/>
      <c r="AA88" s="71"/>
      <c r="AB88" s="71"/>
      <c r="AC88" s="22"/>
      <c r="AD88" s="22"/>
      <c r="AE88" s="22"/>
      <c r="AF88" s="22"/>
      <c r="AG88" s="22"/>
      <c r="AH88" s="22"/>
      <c r="AI88" s="22"/>
      <c r="AJ88" s="22"/>
      <c r="AK88" s="22"/>
      <c r="AL88" s="22"/>
      <c r="AM88" s="22"/>
      <c r="AN88" s="22"/>
      <c r="AO88" s="22"/>
      <c r="AP88" s="22"/>
      <c r="AQ88" s="22"/>
      <c r="AR88" s="22"/>
      <c r="AS88" s="22"/>
    </row>
    <row r="89" spans="1:45" x14ac:dyDescent="0.3">
      <c r="A89" s="22"/>
      <c r="B89" s="71"/>
      <c r="C89" s="22"/>
      <c r="D89" s="23"/>
      <c r="E89" s="22"/>
      <c r="F89" s="22"/>
      <c r="G89" s="22"/>
      <c r="H89" s="23"/>
      <c r="I89" s="22"/>
      <c r="J89" s="22"/>
      <c r="K89" s="22"/>
      <c r="L89" s="23"/>
      <c r="M89" s="71"/>
      <c r="N89" s="71"/>
      <c r="O89" s="22"/>
      <c r="P89" s="22"/>
      <c r="Q89" s="22"/>
      <c r="R89" s="71"/>
      <c r="S89" s="71"/>
      <c r="T89" s="71"/>
      <c r="U89" s="71"/>
      <c r="V89" s="71"/>
      <c r="W89" s="71"/>
      <c r="X89" s="71"/>
      <c r="Y89" s="71"/>
      <c r="Z89" s="71"/>
      <c r="AA89" s="71"/>
      <c r="AB89" s="71"/>
      <c r="AC89" s="22"/>
      <c r="AD89" s="22"/>
      <c r="AE89" s="22"/>
      <c r="AF89" s="22"/>
      <c r="AG89" s="22"/>
      <c r="AH89" s="22"/>
      <c r="AI89" s="22"/>
      <c r="AJ89" s="22"/>
      <c r="AK89" s="22"/>
      <c r="AL89" s="22"/>
      <c r="AM89" s="22"/>
      <c r="AN89" s="22"/>
      <c r="AO89" s="22"/>
      <c r="AP89" s="22"/>
      <c r="AQ89" s="22"/>
      <c r="AR89" s="22"/>
      <c r="AS89" s="22"/>
    </row>
    <row r="90" spans="1:45" x14ac:dyDescent="0.3">
      <c r="A90" s="22"/>
      <c r="B90" s="71"/>
      <c r="C90" s="22"/>
      <c r="D90" s="23"/>
      <c r="E90" s="22"/>
      <c r="F90" s="22"/>
      <c r="G90" s="22"/>
      <c r="H90" s="23"/>
      <c r="I90" s="22"/>
      <c r="J90" s="22"/>
      <c r="K90" s="22"/>
      <c r="L90" s="23"/>
      <c r="M90" s="71"/>
      <c r="N90" s="71"/>
      <c r="O90" s="22"/>
      <c r="P90" s="22"/>
      <c r="Q90" s="22"/>
      <c r="R90" s="71"/>
      <c r="S90" s="71"/>
      <c r="T90" s="71"/>
      <c r="U90" s="71"/>
      <c r="V90" s="71"/>
      <c r="W90" s="71"/>
      <c r="X90" s="71"/>
      <c r="Y90" s="71"/>
      <c r="Z90" s="71"/>
      <c r="AA90" s="71"/>
      <c r="AB90" s="71"/>
      <c r="AC90" s="22"/>
      <c r="AD90" s="22"/>
      <c r="AE90" s="22"/>
      <c r="AF90" s="22"/>
      <c r="AG90" s="22"/>
      <c r="AH90" s="22"/>
      <c r="AI90" s="22"/>
      <c r="AJ90" s="22"/>
      <c r="AK90" s="22"/>
      <c r="AL90" s="22"/>
      <c r="AM90" s="22"/>
      <c r="AN90" s="22"/>
      <c r="AO90" s="22"/>
      <c r="AP90" s="22"/>
      <c r="AQ90" s="22"/>
      <c r="AR90" s="22"/>
      <c r="AS90" s="22"/>
    </row>
    <row r="91" spans="1:45" x14ac:dyDescent="0.3">
      <c r="A91" s="22"/>
      <c r="B91" s="71"/>
      <c r="C91" s="22"/>
      <c r="D91" s="23"/>
      <c r="E91" s="22"/>
      <c r="F91" s="22"/>
      <c r="G91" s="22"/>
      <c r="H91" s="23"/>
      <c r="I91" s="22"/>
      <c r="J91" s="22"/>
      <c r="K91" s="22"/>
      <c r="L91" s="23"/>
      <c r="M91" s="71"/>
      <c r="N91" s="71"/>
      <c r="O91" s="22"/>
      <c r="P91" s="22"/>
      <c r="Q91" s="22"/>
      <c r="R91" s="71"/>
      <c r="S91" s="71"/>
      <c r="T91" s="71"/>
      <c r="U91" s="71"/>
      <c r="V91" s="71"/>
      <c r="W91" s="71"/>
      <c r="X91" s="71"/>
      <c r="Y91" s="71"/>
      <c r="Z91" s="71"/>
      <c r="AA91" s="71"/>
      <c r="AB91" s="71"/>
      <c r="AC91" s="22"/>
      <c r="AD91" s="22"/>
      <c r="AE91" s="22"/>
      <c r="AF91" s="22"/>
      <c r="AG91" s="22"/>
      <c r="AH91" s="22"/>
      <c r="AI91" s="22"/>
      <c r="AJ91" s="22"/>
      <c r="AK91" s="22"/>
      <c r="AL91" s="22"/>
      <c r="AM91" s="22"/>
      <c r="AN91" s="22"/>
      <c r="AO91" s="22"/>
      <c r="AP91" s="22"/>
      <c r="AQ91" s="22"/>
      <c r="AR91" s="22"/>
      <c r="AS91" s="22"/>
    </row>
    <row r="92" spans="1:45" x14ac:dyDescent="0.3">
      <c r="A92" s="22"/>
      <c r="B92" s="71"/>
      <c r="C92" s="22"/>
      <c r="D92" s="23"/>
      <c r="E92" s="22"/>
      <c r="F92" s="22"/>
      <c r="G92" s="22"/>
      <c r="H92" s="23"/>
      <c r="I92" s="22"/>
      <c r="J92" s="22"/>
      <c r="K92" s="22"/>
      <c r="L92" s="23"/>
      <c r="M92" s="71"/>
      <c r="N92" s="71"/>
      <c r="O92" s="22"/>
      <c r="P92" s="22"/>
      <c r="Q92" s="22"/>
      <c r="R92" s="71"/>
      <c r="S92" s="71"/>
      <c r="T92" s="71"/>
      <c r="U92" s="71"/>
      <c r="V92" s="71"/>
      <c r="W92" s="71"/>
      <c r="X92" s="71"/>
      <c r="Y92" s="71"/>
      <c r="Z92" s="71"/>
      <c r="AA92" s="71"/>
      <c r="AB92" s="71"/>
      <c r="AC92" s="22"/>
      <c r="AD92" s="22"/>
      <c r="AE92" s="22"/>
      <c r="AF92" s="22"/>
      <c r="AG92" s="22"/>
      <c r="AH92" s="22"/>
      <c r="AI92" s="22"/>
      <c r="AJ92" s="22"/>
      <c r="AK92" s="22"/>
      <c r="AL92" s="22"/>
      <c r="AM92" s="22"/>
      <c r="AN92" s="22"/>
      <c r="AO92" s="22"/>
      <c r="AP92" s="22"/>
      <c r="AQ92" s="22"/>
      <c r="AR92" s="22"/>
      <c r="AS92" s="22"/>
    </row>
    <row r="93" spans="1:45" x14ac:dyDescent="0.3">
      <c r="A93" s="22"/>
      <c r="B93" s="71"/>
      <c r="C93" s="22"/>
      <c r="D93" s="23"/>
      <c r="E93" s="22"/>
      <c r="F93" s="22"/>
      <c r="G93" s="22"/>
      <c r="H93" s="23"/>
      <c r="I93" s="22"/>
      <c r="J93" s="22"/>
      <c r="K93" s="22"/>
      <c r="L93" s="23"/>
      <c r="M93" s="71"/>
      <c r="N93" s="71"/>
      <c r="O93" s="22"/>
      <c r="P93" s="22"/>
      <c r="Q93" s="22"/>
      <c r="R93" s="71"/>
      <c r="S93" s="71"/>
      <c r="T93" s="71"/>
      <c r="U93" s="71"/>
      <c r="V93" s="71"/>
      <c r="W93" s="71"/>
      <c r="X93" s="71"/>
      <c r="Y93" s="71"/>
      <c r="Z93" s="71"/>
      <c r="AA93" s="71"/>
      <c r="AB93" s="71"/>
      <c r="AC93" s="22"/>
      <c r="AD93" s="22"/>
      <c r="AE93" s="22"/>
      <c r="AF93" s="22"/>
      <c r="AG93" s="22"/>
      <c r="AH93" s="22"/>
      <c r="AI93" s="22"/>
      <c r="AJ93" s="22"/>
      <c r="AK93" s="22"/>
      <c r="AL93" s="22"/>
      <c r="AM93" s="22"/>
      <c r="AN93" s="22"/>
      <c r="AO93" s="22"/>
      <c r="AP93" s="22"/>
      <c r="AQ93" s="22"/>
      <c r="AR93" s="22"/>
      <c r="AS93" s="22"/>
    </row>
    <row r="94" spans="1:45" x14ac:dyDescent="0.3">
      <c r="A94" s="22"/>
      <c r="B94" s="71"/>
      <c r="C94" s="22"/>
      <c r="D94" s="23"/>
      <c r="E94" s="22"/>
      <c r="F94" s="22"/>
      <c r="G94" s="22"/>
      <c r="H94" s="23"/>
      <c r="I94" s="22"/>
      <c r="J94" s="22"/>
      <c r="K94" s="22"/>
      <c r="L94" s="23"/>
      <c r="M94" s="71"/>
      <c r="N94" s="71"/>
      <c r="O94" s="22"/>
      <c r="P94" s="22"/>
      <c r="Q94" s="22"/>
      <c r="R94" s="71"/>
      <c r="S94" s="71"/>
      <c r="T94" s="71"/>
      <c r="U94" s="71"/>
      <c r="V94" s="71"/>
      <c r="W94" s="71"/>
      <c r="X94" s="71"/>
      <c r="Y94" s="71"/>
      <c r="Z94" s="71"/>
      <c r="AA94" s="71"/>
      <c r="AB94" s="71"/>
      <c r="AC94" s="22"/>
      <c r="AD94" s="22"/>
      <c r="AE94" s="22"/>
      <c r="AF94" s="22"/>
      <c r="AG94" s="22"/>
      <c r="AH94" s="22"/>
      <c r="AI94" s="22"/>
      <c r="AJ94" s="22"/>
      <c r="AK94" s="22"/>
      <c r="AL94" s="22"/>
      <c r="AM94" s="22"/>
      <c r="AN94" s="22"/>
      <c r="AO94" s="22"/>
      <c r="AP94" s="22"/>
      <c r="AQ94" s="22"/>
      <c r="AR94" s="22"/>
      <c r="AS94" s="22"/>
    </row>
    <row r="95" spans="1:45" x14ac:dyDescent="0.3">
      <c r="A95" s="22"/>
      <c r="B95" s="71"/>
      <c r="C95" s="22"/>
      <c r="D95" s="23"/>
      <c r="E95" s="22"/>
      <c r="F95" s="22"/>
      <c r="G95" s="22"/>
      <c r="H95" s="23"/>
      <c r="I95" s="22"/>
      <c r="J95" s="22"/>
      <c r="K95" s="22"/>
      <c r="L95" s="23"/>
      <c r="M95" s="71"/>
      <c r="N95" s="71"/>
      <c r="O95" s="22"/>
      <c r="P95" s="22"/>
      <c r="Q95" s="22"/>
      <c r="R95" s="71"/>
      <c r="S95" s="71"/>
      <c r="T95" s="71"/>
      <c r="U95" s="71"/>
      <c r="V95" s="71"/>
      <c r="W95" s="71"/>
      <c r="X95" s="71"/>
      <c r="Y95" s="71"/>
      <c r="Z95" s="71"/>
      <c r="AA95" s="71"/>
      <c r="AB95" s="71"/>
      <c r="AC95" s="22"/>
      <c r="AD95" s="22"/>
      <c r="AE95" s="22"/>
      <c r="AF95" s="22"/>
      <c r="AG95" s="22"/>
      <c r="AH95" s="22"/>
      <c r="AI95" s="22"/>
      <c r="AJ95" s="22"/>
      <c r="AK95" s="22"/>
      <c r="AL95" s="22"/>
      <c r="AM95" s="22"/>
      <c r="AN95" s="22"/>
      <c r="AO95" s="22"/>
      <c r="AP95" s="22"/>
      <c r="AQ95" s="22"/>
      <c r="AR95" s="22"/>
      <c r="AS95" s="22"/>
    </row>
    <row r="96" spans="1:45" x14ac:dyDescent="0.3">
      <c r="A96" s="22"/>
      <c r="B96" s="71"/>
      <c r="C96" s="22"/>
      <c r="D96" s="23"/>
      <c r="E96" s="22"/>
      <c r="F96" s="22"/>
      <c r="G96" s="22"/>
      <c r="H96" s="23"/>
      <c r="I96" s="22"/>
      <c r="J96" s="22"/>
      <c r="K96" s="22"/>
      <c r="L96" s="23"/>
      <c r="M96" s="71"/>
      <c r="N96" s="71"/>
      <c r="O96" s="22"/>
      <c r="P96" s="22"/>
      <c r="Q96" s="22"/>
      <c r="R96" s="71"/>
      <c r="S96" s="71"/>
      <c r="T96" s="71"/>
      <c r="U96" s="71"/>
      <c r="V96" s="71"/>
      <c r="W96" s="71"/>
      <c r="X96" s="71"/>
      <c r="Y96" s="71"/>
      <c r="Z96" s="71"/>
      <c r="AA96" s="71"/>
      <c r="AB96" s="71"/>
      <c r="AC96" s="22"/>
      <c r="AD96" s="22"/>
      <c r="AE96" s="22"/>
      <c r="AF96" s="22"/>
      <c r="AG96" s="22"/>
      <c r="AH96" s="22"/>
      <c r="AI96" s="22"/>
      <c r="AJ96" s="22"/>
      <c r="AK96" s="22"/>
      <c r="AL96" s="22"/>
      <c r="AM96" s="22"/>
      <c r="AN96" s="22"/>
      <c r="AO96" s="22"/>
      <c r="AP96" s="22"/>
      <c r="AQ96" s="22"/>
      <c r="AR96" s="22"/>
      <c r="AS96" s="22"/>
    </row>
    <row r="97" spans="1:45" x14ac:dyDescent="0.3">
      <c r="A97" s="22"/>
      <c r="B97" s="71"/>
      <c r="C97" s="22"/>
      <c r="D97" s="23"/>
      <c r="E97" s="22"/>
      <c r="F97" s="22"/>
      <c r="G97" s="22"/>
      <c r="H97" s="23"/>
      <c r="I97" s="22"/>
      <c r="J97" s="22"/>
      <c r="K97" s="22"/>
      <c r="L97" s="23"/>
      <c r="M97" s="71"/>
      <c r="N97" s="71"/>
      <c r="O97" s="22"/>
      <c r="P97" s="22"/>
      <c r="Q97" s="22"/>
      <c r="R97" s="71"/>
      <c r="S97" s="71"/>
      <c r="T97" s="71"/>
      <c r="U97" s="71"/>
      <c r="V97" s="71"/>
      <c r="W97" s="71"/>
      <c r="X97" s="71"/>
      <c r="Y97" s="71"/>
      <c r="Z97" s="71"/>
      <c r="AA97" s="71"/>
      <c r="AB97" s="71"/>
      <c r="AC97" s="22"/>
      <c r="AD97" s="22"/>
      <c r="AE97" s="22"/>
      <c r="AF97" s="22"/>
      <c r="AG97" s="22"/>
      <c r="AH97" s="22"/>
      <c r="AI97" s="22"/>
      <c r="AJ97" s="22"/>
      <c r="AK97" s="22"/>
      <c r="AL97" s="22"/>
      <c r="AM97" s="22"/>
      <c r="AN97" s="22"/>
      <c r="AO97" s="22"/>
      <c r="AP97" s="22"/>
      <c r="AQ97" s="22"/>
      <c r="AR97" s="22"/>
      <c r="AS97" s="22"/>
    </row>
    <row r="98" spans="1:45" x14ac:dyDescent="0.3">
      <c r="A98" s="22"/>
      <c r="B98" s="71"/>
      <c r="C98" s="22"/>
      <c r="D98" s="23"/>
      <c r="E98" s="22"/>
      <c r="F98" s="22"/>
      <c r="G98" s="22"/>
      <c r="H98" s="23"/>
      <c r="I98" s="22"/>
      <c r="J98" s="22"/>
      <c r="K98" s="22"/>
      <c r="L98" s="23"/>
      <c r="M98" s="71"/>
      <c r="N98" s="71"/>
      <c r="O98" s="22"/>
      <c r="P98" s="22"/>
      <c r="Q98" s="22"/>
      <c r="R98" s="71"/>
      <c r="S98" s="71"/>
      <c r="T98" s="71"/>
      <c r="U98" s="71"/>
      <c r="V98" s="71"/>
      <c r="W98" s="71"/>
      <c r="X98" s="71"/>
      <c r="Y98" s="71"/>
      <c r="Z98" s="71"/>
      <c r="AA98" s="71"/>
      <c r="AB98" s="71"/>
      <c r="AC98" s="22"/>
      <c r="AD98" s="22"/>
      <c r="AE98" s="22"/>
      <c r="AF98" s="22"/>
      <c r="AG98" s="22"/>
      <c r="AH98" s="22"/>
      <c r="AI98" s="22"/>
      <c r="AJ98" s="22"/>
      <c r="AK98" s="22"/>
      <c r="AL98" s="22"/>
      <c r="AM98" s="22"/>
      <c r="AN98" s="22"/>
      <c r="AO98" s="22"/>
      <c r="AP98" s="22"/>
      <c r="AQ98" s="22"/>
      <c r="AR98" s="22"/>
      <c r="AS98" s="22"/>
    </row>
    <row r="99" spans="1:45" x14ac:dyDescent="0.3">
      <c r="A99" s="22"/>
      <c r="B99" s="71"/>
      <c r="C99" s="22"/>
      <c r="D99" s="23"/>
      <c r="E99" s="22"/>
      <c r="F99" s="22"/>
      <c r="G99" s="22"/>
      <c r="H99" s="23"/>
      <c r="I99" s="22"/>
      <c r="J99" s="22"/>
      <c r="K99" s="22"/>
      <c r="L99" s="23"/>
      <c r="M99" s="71"/>
      <c r="N99" s="71"/>
      <c r="O99" s="22"/>
      <c r="P99" s="22"/>
      <c r="Q99" s="22"/>
      <c r="R99" s="71"/>
      <c r="S99" s="71"/>
      <c r="T99" s="71"/>
      <c r="U99" s="71"/>
      <c r="V99" s="71"/>
      <c r="W99" s="71"/>
      <c r="X99" s="71"/>
      <c r="Y99" s="71"/>
      <c r="Z99" s="71"/>
      <c r="AA99" s="71"/>
      <c r="AB99" s="71"/>
      <c r="AC99" s="22"/>
      <c r="AD99" s="22"/>
      <c r="AE99" s="22"/>
      <c r="AF99" s="22"/>
      <c r="AG99" s="22"/>
      <c r="AH99" s="22"/>
      <c r="AI99" s="22"/>
      <c r="AJ99" s="22"/>
      <c r="AK99" s="22"/>
      <c r="AL99" s="22"/>
      <c r="AM99" s="22"/>
      <c r="AN99" s="22"/>
      <c r="AO99" s="22"/>
      <c r="AP99" s="22"/>
      <c r="AQ99" s="22"/>
      <c r="AR99" s="22"/>
      <c r="AS99" s="22"/>
    </row>
    <row r="100" spans="1:45" x14ac:dyDescent="0.3">
      <c r="A100" s="22"/>
      <c r="B100" s="71"/>
      <c r="C100" s="22"/>
      <c r="D100" s="23"/>
      <c r="E100" s="22"/>
      <c r="F100" s="22"/>
      <c r="G100" s="22"/>
      <c r="H100" s="23"/>
      <c r="I100" s="22"/>
      <c r="J100" s="22"/>
      <c r="K100" s="22"/>
      <c r="L100" s="23"/>
      <c r="M100" s="71"/>
      <c r="N100" s="71"/>
      <c r="O100" s="22"/>
      <c r="P100" s="22"/>
      <c r="Q100" s="22"/>
      <c r="R100" s="71"/>
      <c r="S100" s="71"/>
      <c r="T100" s="71"/>
      <c r="U100" s="71"/>
      <c r="V100" s="71"/>
      <c r="W100" s="71"/>
      <c r="X100" s="71"/>
      <c r="Y100" s="71"/>
      <c r="Z100" s="71"/>
      <c r="AA100" s="71"/>
      <c r="AB100" s="71"/>
      <c r="AC100" s="22"/>
      <c r="AD100" s="22"/>
      <c r="AE100" s="22"/>
      <c r="AF100" s="22"/>
      <c r="AG100" s="22"/>
      <c r="AH100" s="22"/>
      <c r="AI100" s="22"/>
      <c r="AJ100" s="22"/>
      <c r="AK100" s="22"/>
      <c r="AL100" s="22"/>
      <c r="AM100" s="22"/>
      <c r="AN100" s="22"/>
      <c r="AO100" s="22"/>
      <c r="AP100" s="22"/>
      <c r="AQ100" s="22"/>
      <c r="AR100" s="22"/>
      <c r="AS100" s="22"/>
    </row>
    <row r="101" spans="1:45" x14ac:dyDescent="0.3">
      <c r="A101" s="22"/>
      <c r="B101" s="71"/>
      <c r="C101" s="22"/>
      <c r="D101" s="23"/>
      <c r="E101" s="22"/>
      <c r="F101" s="22"/>
      <c r="G101" s="22"/>
      <c r="H101" s="23"/>
      <c r="I101" s="22"/>
      <c r="J101" s="22"/>
      <c r="K101" s="22"/>
      <c r="L101" s="23"/>
      <c r="M101" s="71"/>
      <c r="N101" s="71"/>
      <c r="O101" s="22"/>
      <c r="P101" s="22"/>
      <c r="Q101" s="22"/>
      <c r="R101" s="71"/>
      <c r="S101" s="71"/>
      <c r="T101" s="71"/>
      <c r="U101" s="71"/>
      <c r="V101" s="71"/>
      <c r="W101" s="71"/>
      <c r="X101" s="71"/>
      <c r="Y101" s="71"/>
      <c r="Z101" s="71"/>
      <c r="AA101" s="71"/>
      <c r="AB101" s="71"/>
      <c r="AC101" s="22"/>
      <c r="AD101" s="22"/>
      <c r="AE101" s="22"/>
      <c r="AF101" s="22"/>
      <c r="AG101" s="22"/>
      <c r="AH101" s="22"/>
      <c r="AI101" s="22"/>
      <c r="AJ101" s="22"/>
      <c r="AK101" s="22"/>
      <c r="AL101" s="22"/>
      <c r="AM101" s="22"/>
      <c r="AN101" s="22"/>
      <c r="AO101" s="22"/>
      <c r="AP101" s="22"/>
      <c r="AQ101" s="22"/>
      <c r="AR101" s="22"/>
      <c r="AS101" s="22"/>
    </row>
    <row r="102" spans="1:45" x14ac:dyDescent="0.3">
      <c r="A102" s="22"/>
      <c r="B102" s="71"/>
      <c r="C102" s="22"/>
      <c r="D102" s="23"/>
      <c r="E102" s="22"/>
      <c r="F102" s="22"/>
      <c r="G102" s="22"/>
      <c r="H102" s="23"/>
      <c r="I102" s="22"/>
      <c r="J102" s="22"/>
      <c r="K102" s="22"/>
      <c r="L102" s="23"/>
      <c r="M102" s="71"/>
      <c r="N102" s="71"/>
      <c r="O102" s="22"/>
      <c r="P102" s="22"/>
      <c r="Q102" s="22"/>
      <c r="R102" s="71"/>
      <c r="S102" s="71"/>
      <c r="T102" s="71"/>
      <c r="U102" s="71"/>
      <c r="V102" s="71"/>
      <c r="W102" s="71"/>
      <c r="X102" s="71"/>
      <c r="Y102" s="71"/>
      <c r="Z102" s="71"/>
      <c r="AA102" s="71"/>
      <c r="AB102" s="71"/>
      <c r="AC102" s="22"/>
      <c r="AD102" s="22"/>
      <c r="AE102" s="22"/>
      <c r="AF102" s="22"/>
      <c r="AG102" s="22"/>
      <c r="AH102" s="22"/>
      <c r="AI102" s="22"/>
      <c r="AJ102" s="22"/>
      <c r="AK102" s="22"/>
      <c r="AL102" s="22"/>
      <c r="AM102" s="22"/>
      <c r="AN102" s="22"/>
      <c r="AO102" s="22"/>
      <c r="AP102" s="22"/>
      <c r="AQ102" s="22"/>
      <c r="AR102" s="22"/>
      <c r="AS102" s="22"/>
    </row>
    <row r="103" spans="1:45" x14ac:dyDescent="0.3">
      <c r="A103" s="22"/>
      <c r="B103" s="71"/>
      <c r="C103" s="22"/>
      <c r="D103" s="23"/>
      <c r="E103" s="22"/>
      <c r="F103" s="22"/>
      <c r="G103" s="22"/>
      <c r="H103" s="23"/>
      <c r="I103" s="22"/>
      <c r="J103" s="22"/>
      <c r="K103" s="22"/>
      <c r="L103" s="23"/>
      <c r="M103" s="71"/>
      <c r="N103" s="71"/>
      <c r="O103" s="22"/>
      <c r="P103" s="22"/>
      <c r="Q103" s="22"/>
      <c r="R103" s="71"/>
      <c r="S103" s="71"/>
      <c r="T103" s="71"/>
      <c r="U103" s="71"/>
      <c r="V103" s="71"/>
      <c r="W103" s="71"/>
      <c r="X103" s="71"/>
      <c r="Y103" s="71"/>
      <c r="Z103" s="71"/>
      <c r="AA103" s="71"/>
      <c r="AB103" s="71"/>
      <c r="AC103" s="22"/>
      <c r="AD103" s="22"/>
      <c r="AE103" s="22"/>
      <c r="AF103" s="22"/>
      <c r="AG103" s="22"/>
      <c r="AH103" s="22"/>
      <c r="AI103" s="22"/>
      <c r="AJ103" s="22"/>
      <c r="AK103" s="22"/>
      <c r="AL103" s="22"/>
      <c r="AM103" s="22"/>
      <c r="AN103" s="22"/>
      <c r="AO103" s="22"/>
      <c r="AP103" s="22"/>
      <c r="AQ103" s="22"/>
      <c r="AR103" s="22"/>
      <c r="AS103" s="22"/>
    </row>
    <row r="104" spans="1:45" x14ac:dyDescent="0.3">
      <c r="A104" s="22"/>
      <c r="B104" s="71"/>
      <c r="C104" s="22"/>
      <c r="D104" s="23"/>
      <c r="E104" s="22"/>
      <c r="F104" s="22"/>
      <c r="G104" s="22"/>
      <c r="H104" s="23"/>
      <c r="I104" s="22"/>
      <c r="J104" s="22"/>
      <c r="K104" s="22"/>
      <c r="L104" s="23"/>
      <c r="M104" s="71"/>
      <c r="N104" s="71"/>
      <c r="O104" s="22"/>
      <c r="P104" s="22"/>
      <c r="Q104" s="22"/>
      <c r="R104" s="71"/>
      <c r="S104" s="71"/>
      <c r="T104" s="71"/>
      <c r="U104" s="71"/>
      <c r="V104" s="71"/>
      <c r="W104" s="71"/>
      <c r="X104" s="71"/>
      <c r="Y104" s="71"/>
      <c r="Z104" s="71"/>
      <c r="AA104" s="71"/>
      <c r="AB104" s="71"/>
      <c r="AC104" s="22"/>
      <c r="AD104" s="22"/>
      <c r="AE104" s="22"/>
      <c r="AF104" s="22"/>
      <c r="AG104" s="22"/>
      <c r="AH104" s="22"/>
      <c r="AI104" s="22"/>
      <c r="AJ104" s="22"/>
      <c r="AK104" s="22"/>
      <c r="AL104" s="22"/>
      <c r="AM104" s="22"/>
      <c r="AN104" s="22"/>
      <c r="AO104" s="22"/>
      <c r="AP104" s="22"/>
      <c r="AQ104" s="22"/>
      <c r="AR104" s="22"/>
      <c r="AS104" s="22"/>
    </row>
    <row r="105" spans="1:45" x14ac:dyDescent="0.3">
      <c r="A105" s="22"/>
      <c r="B105" s="71"/>
      <c r="C105" s="22"/>
      <c r="D105" s="23"/>
      <c r="E105" s="22"/>
      <c r="F105" s="22"/>
      <c r="G105" s="22"/>
      <c r="H105" s="23"/>
      <c r="I105" s="22"/>
      <c r="J105" s="22"/>
      <c r="K105" s="22"/>
      <c r="L105" s="23"/>
      <c r="M105" s="71"/>
      <c r="N105" s="71"/>
      <c r="O105" s="22"/>
      <c r="P105" s="22"/>
      <c r="Q105" s="22"/>
      <c r="R105" s="71"/>
      <c r="S105" s="71"/>
      <c r="T105" s="71"/>
      <c r="U105" s="71"/>
      <c r="V105" s="71"/>
      <c r="W105" s="71"/>
      <c r="X105" s="71"/>
      <c r="Y105" s="71"/>
      <c r="Z105" s="71"/>
      <c r="AA105" s="71"/>
      <c r="AB105" s="71"/>
      <c r="AC105" s="22"/>
      <c r="AD105" s="22"/>
      <c r="AE105" s="22"/>
      <c r="AF105" s="22"/>
      <c r="AG105" s="22"/>
      <c r="AH105" s="22"/>
      <c r="AI105" s="22"/>
      <c r="AJ105" s="22"/>
      <c r="AK105" s="22"/>
      <c r="AL105" s="22"/>
      <c r="AM105" s="22"/>
      <c r="AN105" s="22"/>
      <c r="AO105" s="22"/>
      <c r="AP105" s="22"/>
      <c r="AQ105" s="22"/>
      <c r="AR105" s="22"/>
      <c r="AS105" s="22"/>
    </row>
    <row r="106" spans="1:45" x14ac:dyDescent="0.3">
      <c r="A106" s="22"/>
      <c r="B106" s="71"/>
      <c r="C106" s="22"/>
      <c r="D106" s="23"/>
      <c r="E106" s="22"/>
      <c r="F106" s="22"/>
      <c r="G106" s="22"/>
      <c r="H106" s="23"/>
      <c r="I106" s="22"/>
      <c r="J106" s="22"/>
      <c r="K106" s="22"/>
      <c r="L106" s="23"/>
      <c r="M106" s="71"/>
      <c r="N106" s="71"/>
      <c r="O106" s="22"/>
      <c r="P106" s="22"/>
      <c r="Q106" s="22"/>
      <c r="R106" s="71"/>
      <c r="S106" s="71"/>
      <c r="T106" s="71"/>
      <c r="U106" s="71"/>
      <c r="V106" s="71"/>
      <c r="W106" s="71"/>
      <c r="X106" s="71"/>
      <c r="Y106" s="71"/>
      <c r="Z106" s="71"/>
      <c r="AA106" s="71"/>
      <c r="AB106" s="71"/>
      <c r="AC106" s="22"/>
      <c r="AD106" s="22"/>
      <c r="AE106" s="22"/>
      <c r="AF106" s="22"/>
      <c r="AG106" s="22"/>
      <c r="AH106" s="22"/>
      <c r="AI106" s="22"/>
      <c r="AJ106" s="22"/>
      <c r="AK106" s="22"/>
      <c r="AL106" s="22"/>
      <c r="AM106" s="22"/>
      <c r="AN106" s="22"/>
      <c r="AO106" s="22"/>
      <c r="AP106" s="22"/>
      <c r="AQ106" s="22"/>
      <c r="AR106" s="22"/>
      <c r="AS106" s="22"/>
    </row>
    <row r="107" spans="1:45" x14ac:dyDescent="0.3">
      <c r="A107" s="22"/>
      <c r="B107" s="71"/>
      <c r="C107" s="22"/>
      <c r="D107" s="23"/>
      <c r="E107" s="22"/>
      <c r="F107" s="22"/>
      <c r="G107" s="22"/>
      <c r="H107" s="23"/>
      <c r="I107" s="22"/>
      <c r="J107" s="22"/>
      <c r="K107" s="22"/>
      <c r="L107" s="23"/>
      <c r="M107" s="71"/>
      <c r="N107" s="71"/>
      <c r="O107" s="22"/>
      <c r="P107" s="22"/>
      <c r="Q107" s="22"/>
      <c r="R107" s="71"/>
      <c r="S107" s="71"/>
      <c r="T107" s="71"/>
      <c r="U107" s="71"/>
      <c r="V107" s="71"/>
      <c r="W107" s="71"/>
      <c r="X107" s="71"/>
      <c r="Y107" s="71"/>
      <c r="Z107" s="71"/>
      <c r="AA107" s="71"/>
      <c r="AB107" s="71"/>
      <c r="AC107" s="22"/>
      <c r="AD107" s="22"/>
      <c r="AE107" s="22"/>
      <c r="AF107" s="22"/>
      <c r="AG107" s="22"/>
      <c r="AH107" s="22"/>
      <c r="AI107" s="22"/>
      <c r="AJ107" s="22"/>
      <c r="AK107" s="22"/>
      <c r="AL107" s="22"/>
      <c r="AM107" s="22"/>
      <c r="AN107" s="22"/>
      <c r="AO107" s="22"/>
      <c r="AP107" s="22"/>
      <c r="AQ107" s="22"/>
      <c r="AR107" s="22"/>
      <c r="AS107" s="22"/>
    </row>
    <row r="108" spans="1:45" x14ac:dyDescent="0.3">
      <c r="A108" s="22"/>
      <c r="B108" s="71"/>
      <c r="C108" s="22"/>
      <c r="D108" s="23"/>
      <c r="E108" s="22"/>
      <c r="F108" s="22"/>
      <c r="G108" s="22"/>
      <c r="H108" s="23"/>
      <c r="I108" s="22"/>
      <c r="J108" s="22"/>
      <c r="K108" s="22"/>
      <c r="L108" s="23"/>
      <c r="M108" s="71"/>
      <c r="N108" s="71"/>
      <c r="O108" s="22"/>
      <c r="P108" s="22"/>
      <c r="Q108" s="22"/>
      <c r="R108" s="71"/>
      <c r="S108" s="71"/>
      <c r="T108" s="71"/>
      <c r="U108" s="71"/>
      <c r="V108" s="71"/>
      <c r="W108" s="71"/>
      <c r="X108" s="71"/>
      <c r="Y108" s="71"/>
      <c r="Z108" s="71"/>
      <c r="AA108" s="71"/>
      <c r="AB108" s="71"/>
      <c r="AC108" s="22"/>
      <c r="AD108" s="22"/>
      <c r="AE108" s="22"/>
      <c r="AF108" s="22"/>
      <c r="AG108" s="22"/>
      <c r="AH108" s="22"/>
      <c r="AI108" s="22"/>
      <c r="AJ108" s="22"/>
      <c r="AK108" s="22"/>
      <c r="AL108" s="22"/>
      <c r="AM108" s="22"/>
      <c r="AN108" s="22"/>
      <c r="AO108" s="22"/>
      <c r="AP108" s="22"/>
      <c r="AQ108" s="22"/>
      <c r="AR108" s="22"/>
      <c r="AS108" s="22"/>
    </row>
    <row r="109" spans="1:45" x14ac:dyDescent="0.3">
      <c r="A109" s="22"/>
      <c r="B109" s="71"/>
      <c r="C109" s="22"/>
      <c r="D109" s="23"/>
      <c r="E109" s="22"/>
      <c r="F109" s="22"/>
      <c r="G109" s="22"/>
      <c r="H109" s="23"/>
      <c r="I109" s="22"/>
      <c r="J109" s="22"/>
      <c r="K109" s="22"/>
      <c r="L109" s="23"/>
      <c r="M109" s="71"/>
      <c r="N109" s="71"/>
      <c r="O109" s="22"/>
      <c r="P109" s="22"/>
      <c r="Q109" s="22"/>
      <c r="R109" s="71"/>
      <c r="S109" s="71"/>
      <c r="T109" s="71"/>
      <c r="U109" s="71"/>
      <c r="V109" s="71"/>
      <c r="W109" s="71"/>
      <c r="X109" s="71"/>
      <c r="Y109" s="71"/>
      <c r="Z109" s="71"/>
      <c r="AA109" s="71"/>
      <c r="AB109" s="71"/>
      <c r="AC109" s="22"/>
      <c r="AD109" s="22"/>
      <c r="AE109" s="22"/>
      <c r="AF109" s="22"/>
      <c r="AG109" s="22"/>
      <c r="AH109" s="22"/>
      <c r="AI109" s="22"/>
      <c r="AJ109" s="22"/>
      <c r="AK109" s="22"/>
      <c r="AL109" s="22"/>
      <c r="AM109" s="22"/>
      <c r="AN109" s="22"/>
      <c r="AO109" s="22"/>
      <c r="AP109" s="22"/>
      <c r="AQ109" s="22"/>
      <c r="AR109" s="22"/>
      <c r="AS109" s="22"/>
    </row>
    <row r="110" spans="1:45" x14ac:dyDescent="0.3">
      <c r="A110" s="22"/>
      <c r="B110" s="71"/>
      <c r="C110" s="22"/>
      <c r="D110" s="23"/>
      <c r="E110" s="22"/>
      <c r="F110" s="22"/>
      <c r="G110" s="22"/>
      <c r="H110" s="23"/>
      <c r="I110" s="22"/>
      <c r="J110" s="22"/>
      <c r="K110" s="22"/>
      <c r="L110" s="23"/>
      <c r="M110" s="71"/>
      <c r="N110" s="71"/>
      <c r="O110" s="22"/>
      <c r="P110" s="22"/>
      <c r="Q110" s="22"/>
      <c r="R110" s="71"/>
      <c r="S110" s="71"/>
      <c r="T110" s="71"/>
      <c r="U110" s="71"/>
      <c r="V110" s="71"/>
      <c r="W110" s="71"/>
      <c r="X110" s="71"/>
      <c r="Y110" s="71"/>
      <c r="Z110" s="71"/>
      <c r="AA110" s="71"/>
      <c r="AB110" s="71"/>
      <c r="AC110" s="22"/>
      <c r="AD110" s="22"/>
      <c r="AE110" s="22"/>
      <c r="AF110" s="22"/>
      <c r="AG110" s="22"/>
      <c r="AH110" s="22"/>
      <c r="AI110" s="22"/>
      <c r="AJ110" s="22"/>
      <c r="AK110" s="22"/>
      <c r="AL110" s="22"/>
      <c r="AM110" s="22"/>
      <c r="AN110" s="22"/>
      <c r="AO110" s="22"/>
      <c r="AP110" s="22"/>
      <c r="AQ110" s="22"/>
      <c r="AR110" s="22"/>
      <c r="AS110" s="22"/>
    </row>
    <row r="111" spans="1:45" x14ac:dyDescent="0.3">
      <c r="A111" s="22"/>
      <c r="B111" s="71"/>
      <c r="C111" s="22"/>
      <c r="D111" s="23"/>
      <c r="E111" s="22"/>
      <c r="F111" s="22"/>
      <c r="G111" s="22"/>
      <c r="H111" s="23"/>
      <c r="I111" s="22"/>
      <c r="J111" s="22"/>
      <c r="K111" s="22"/>
      <c r="L111" s="23"/>
      <c r="M111" s="71"/>
      <c r="N111" s="71"/>
      <c r="O111" s="22"/>
      <c r="P111" s="22"/>
      <c r="Q111" s="22"/>
      <c r="R111" s="71"/>
      <c r="S111" s="71"/>
      <c r="T111" s="71"/>
      <c r="U111" s="71"/>
      <c r="V111" s="71"/>
      <c r="W111" s="71"/>
      <c r="X111" s="71"/>
      <c r="Y111" s="71"/>
      <c r="Z111" s="71"/>
      <c r="AA111" s="71"/>
      <c r="AB111" s="71"/>
      <c r="AC111" s="22"/>
      <c r="AD111" s="22"/>
      <c r="AE111" s="22"/>
      <c r="AF111" s="22"/>
      <c r="AG111" s="22"/>
      <c r="AH111" s="22"/>
      <c r="AI111" s="22"/>
      <c r="AJ111" s="22"/>
      <c r="AK111" s="22"/>
      <c r="AL111" s="22"/>
      <c r="AM111" s="22"/>
      <c r="AN111" s="22"/>
      <c r="AO111" s="22"/>
      <c r="AP111" s="22"/>
      <c r="AQ111" s="22"/>
      <c r="AR111" s="22"/>
      <c r="AS111" s="22"/>
    </row>
    <row r="112" spans="1:45" x14ac:dyDescent="0.3">
      <c r="A112" s="22"/>
      <c r="B112" s="71"/>
      <c r="C112" s="22"/>
      <c r="D112" s="23"/>
      <c r="E112" s="22"/>
      <c r="F112" s="22"/>
      <c r="G112" s="22"/>
      <c r="H112" s="23"/>
      <c r="I112" s="22"/>
      <c r="J112" s="22"/>
      <c r="K112" s="22"/>
      <c r="L112" s="23"/>
      <c r="M112" s="71"/>
      <c r="N112" s="71"/>
      <c r="O112" s="22"/>
      <c r="P112" s="22"/>
      <c r="Q112" s="22"/>
      <c r="R112" s="71"/>
      <c r="S112" s="71"/>
      <c r="T112" s="71"/>
      <c r="U112" s="71"/>
      <c r="V112" s="71"/>
      <c r="W112" s="71"/>
      <c r="X112" s="71"/>
      <c r="Y112" s="71"/>
      <c r="Z112" s="71"/>
      <c r="AA112" s="71"/>
      <c r="AB112" s="71"/>
      <c r="AC112" s="22"/>
      <c r="AD112" s="22"/>
      <c r="AE112" s="22"/>
      <c r="AF112" s="22"/>
      <c r="AG112" s="22"/>
      <c r="AH112" s="22"/>
      <c r="AI112" s="22"/>
      <c r="AJ112" s="22"/>
      <c r="AK112" s="22"/>
      <c r="AL112" s="22"/>
      <c r="AM112" s="22"/>
      <c r="AN112" s="22"/>
      <c r="AO112" s="22"/>
      <c r="AP112" s="22"/>
      <c r="AQ112" s="22"/>
      <c r="AR112" s="22"/>
      <c r="AS112" s="22"/>
    </row>
    <row r="113" spans="1:45" x14ac:dyDescent="0.3">
      <c r="A113" s="22"/>
      <c r="B113" s="71"/>
      <c r="C113" s="22"/>
      <c r="D113" s="23"/>
      <c r="E113" s="22"/>
      <c r="F113" s="22"/>
      <c r="G113" s="22"/>
      <c r="H113" s="23"/>
      <c r="I113" s="22"/>
      <c r="J113" s="22"/>
      <c r="K113" s="22"/>
      <c r="L113" s="23"/>
      <c r="M113" s="71"/>
      <c r="N113" s="71"/>
      <c r="O113" s="22"/>
      <c r="P113" s="22"/>
      <c r="Q113" s="22"/>
      <c r="R113" s="71"/>
      <c r="S113" s="71"/>
      <c r="T113" s="71"/>
      <c r="U113" s="71"/>
      <c r="V113" s="71"/>
      <c r="W113" s="71"/>
      <c r="X113" s="71"/>
      <c r="Y113" s="71"/>
      <c r="Z113" s="71"/>
      <c r="AA113" s="71"/>
      <c r="AB113" s="71"/>
      <c r="AC113" s="22"/>
      <c r="AD113" s="22"/>
      <c r="AE113" s="22"/>
      <c r="AF113" s="22"/>
      <c r="AG113" s="22"/>
      <c r="AH113" s="22"/>
      <c r="AI113" s="22"/>
      <c r="AJ113" s="22"/>
      <c r="AK113" s="22"/>
      <c r="AL113" s="22"/>
      <c r="AM113" s="22"/>
      <c r="AN113" s="22"/>
      <c r="AO113" s="22"/>
      <c r="AP113" s="22"/>
      <c r="AQ113" s="22"/>
      <c r="AR113" s="22"/>
      <c r="AS113" s="22"/>
    </row>
    <row r="114" spans="1:45" x14ac:dyDescent="0.3">
      <c r="A114" s="22"/>
      <c r="B114" s="71"/>
      <c r="C114" s="22"/>
      <c r="D114" s="23"/>
      <c r="E114" s="22"/>
      <c r="F114" s="22"/>
      <c r="G114" s="22"/>
      <c r="H114" s="23"/>
      <c r="I114" s="22"/>
      <c r="J114" s="22"/>
      <c r="K114" s="22"/>
      <c r="L114" s="23"/>
      <c r="M114" s="71"/>
      <c r="N114" s="71"/>
      <c r="O114" s="22"/>
      <c r="P114" s="22"/>
      <c r="Q114" s="22"/>
      <c r="R114" s="71"/>
      <c r="S114" s="71"/>
      <c r="T114" s="71"/>
      <c r="U114" s="71"/>
      <c r="V114" s="71"/>
      <c r="W114" s="71"/>
      <c r="X114" s="71"/>
      <c r="Y114" s="71"/>
      <c r="Z114" s="71"/>
      <c r="AA114" s="71"/>
      <c r="AB114" s="71"/>
      <c r="AC114" s="22"/>
      <c r="AD114" s="22"/>
      <c r="AE114" s="22"/>
      <c r="AF114" s="22"/>
      <c r="AG114" s="22"/>
      <c r="AH114" s="22"/>
      <c r="AI114" s="22"/>
      <c r="AJ114" s="22"/>
      <c r="AK114" s="22"/>
      <c r="AL114" s="22"/>
      <c r="AM114" s="22"/>
      <c r="AN114" s="22"/>
      <c r="AO114" s="22"/>
      <c r="AP114" s="22"/>
      <c r="AQ114" s="22"/>
      <c r="AR114" s="22"/>
      <c r="AS114" s="22"/>
    </row>
    <row r="115" spans="1:45" x14ac:dyDescent="0.3">
      <c r="A115" s="22"/>
      <c r="B115" s="71"/>
      <c r="C115" s="22"/>
      <c r="D115" s="23"/>
      <c r="E115" s="22"/>
      <c r="F115" s="22"/>
      <c r="G115" s="22"/>
      <c r="H115" s="23"/>
      <c r="I115" s="22"/>
      <c r="J115" s="22"/>
      <c r="K115" s="22"/>
      <c r="L115" s="23"/>
      <c r="M115" s="71"/>
      <c r="N115" s="71"/>
      <c r="O115" s="22"/>
      <c r="P115" s="22"/>
      <c r="Q115" s="22"/>
      <c r="R115" s="71"/>
      <c r="S115" s="71"/>
      <c r="T115" s="71"/>
      <c r="U115" s="71"/>
      <c r="V115" s="71"/>
      <c r="W115" s="71"/>
      <c r="X115" s="71"/>
      <c r="Y115" s="71"/>
      <c r="Z115" s="71"/>
      <c r="AA115" s="71"/>
      <c r="AB115" s="71"/>
      <c r="AC115" s="22"/>
      <c r="AD115" s="22"/>
      <c r="AE115" s="22"/>
      <c r="AF115" s="22"/>
      <c r="AG115" s="22"/>
      <c r="AH115" s="22"/>
      <c r="AI115" s="22"/>
      <c r="AJ115" s="22"/>
      <c r="AK115" s="22"/>
      <c r="AL115" s="22"/>
      <c r="AM115" s="22"/>
      <c r="AN115" s="22"/>
      <c r="AO115" s="22"/>
      <c r="AP115" s="22"/>
      <c r="AQ115" s="22"/>
      <c r="AR115" s="22"/>
      <c r="AS115" s="22"/>
    </row>
    <row r="116" spans="1:45" x14ac:dyDescent="0.3">
      <c r="A116" s="22"/>
      <c r="B116" s="71"/>
      <c r="C116" s="22"/>
      <c r="D116" s="23"/>
      <c r="E116" s="22"/>
      <c r="F116" s="22"/>
      <c r="G116" s="22"/>
      <c r="H116" s="23"/>
      <c r="I116" s="22"/>
      <c r="J116" s="22"/>
      <c r="K116" s="22"/>
      <c r="L116" s="23"/>
      <c r="M116" s="71"/>
      <c r="N116" s="71"/>
      <c r="O116" s="22"/>
      <c r="P116" s="22"/>
      <c r="Q116" s="22"/>
      <c r="R116" s="71"/>
      <c r="S116" s="71"/>
      <c r="T116" s="71"/>
      <c r="U116" s="71"/>
      <c r="V116" s="71"/>
      <c r="W116" s="71"/>
      <c r="X116" s="71"/>
      <c r="Y116" s="71"/>
      <c r="Z116" s="71"/>
      <c r="AA116" s="71"/>
      <c r="AB116" s="71"/>
      <c r="AC116" s="22"/>
      <c r="AD116" s="22"/>
      <c r="AE116" s="22"/>
      <c r="AF116" s="22"/>
      <c r="AG116" s="22"/>
      <c r="AH116" s="22"/>
      <c r="AI116" s="22"/>
      <c r="AJ116" s="22"/>
      <c r="AK116" s="22"/>
      <c r="AL116" s="22"/>
      <c r="AM116" s="22"/>
      <c r="AN116" s="22"/>
      <c r="AO116" s="22"/>
      <c r="AP116" s="22"/>
      <c r="AQ116" s="22"/>
      <c r="AR116" s="22"/>
      <c r="AS116" s="22"/>
    </row>
    <row r="117" spans="1:45" x14ac:dyDescent="0.3">
      <c r="A117" s="22"/>
      <c r="B117" s="71"/>
      <c r="C117" s="22"/>
      <c r="D117" s="23"/>
      <c r="E117" s="22"/>
      <c r="F117" s="22"/>
      <c r="G117" s="22"/>
      <c r="H117" s="23"/>
      <c r="I117" s="22"/>
      <c r="J117" s="22"/>
      <c r="K117" s="22"/>
      <c r="L117" s="23"/>
      <c r="M117" s="71"/>
      <c r="N117" s="71"/>
      <c r="O117" s="22"/>
      <c r="P117" s="22"/>
      <c r="Q117" s="22"/>
      <c r="R117" s="71"/>
      <c r="S117" s="71"/>
      <c r="T117" s="71"/>
      <c r="U117" s="71"/>
      <c r="V117" s="71"/>
      <c r="W117" s="71"/>
      <c r="X117" s="71"/>
      <c r="Y117" s="71"/>
      <c r="Z117" s="71"/>
      <c r="AA117" s="71"/>
      <c r="AB117" s="71"/>
      <c r="AC117" s="22"/>
      <c r="AD117" s="22"/>
      <c r="AE117" s="22"/>
      <c r="AF117" s="22"/>
      <c r="AG117" s="22"/>
      <c r="AH117" s="22"/>
      <c r="AI117" s="22"/>
      <c r="AJ117" s="22"/>
      <c r="AK117" s="22"/>
      <c r="AL117" s="22"/>
      <c r="AM117" s="22"/>
      <c r="AN117" s="22"/>
      <c r="AO117" s="22"/>
      <c r="AP117" s="22"/>
      <c r="AQ117" s="22"/>
      <c r="AR117" s="22"/>
      <c r="AS117" s="22"/>
    </row>
    <row r="118" spans="1:45" x14ac:dyDescent="0.3">
      <c r="A118" s="22"/>
      <c r="B118" s="71"/>
      <c r="C118" s="22"/>
      <c r="D118" s="23"/>
      <c r="E118" s="22"/>
      <c r="F118" s="22"/>
      <c r="G118" s="22"/>
      <c r="H118" s="23"/>
      <c r="I118" s="22"/>
      <c r="J118" s="22"/>
      <c r="K118" s="22"/>
      <c r="L118" s="23"/>
      <c r="M118" s="71"/>
      <c r="N118" s="71"/>
      <c r="O118" s="22"/>
      <c r="P118" s="22"/>
      <c r="Q118" s="22"/>
      <c r="R118" s="71"/>
      <c r="S118" s="71"/>
      <c r="T118" s="71"/>
      <c r="U118" s="71"/>
      <c r="V118" s="71"/>
      <c r="W118" s="71"/>
      <c r="X118" s="71"/>
      <c r="Y118" s="71"/>
      <c r="Z118" s="71"/>
      <c r="AA118" s="71"/>
      <c r="AB118" s="71"/>
      <c r="AC118" s="22"/>
      <c r="AD118" s="22"/>
      <c r="AE118" s="22"/>
      <c r="AF118" s="22"/>
      <c r="AG118" s="22"/>
      <c r="AH118" s="22"/>
      <c r="AI118" s="22"/>
      <c r="AJ118" s="22"/>
      <c r="AK118" s="22"/>
      <c r="AL118" s="22"/>
      <c r="AM118" s="22"/>
      <c r="AN118" s="22"/>
      <c r="AO118" s="22"/>
      <c r="AP118" s="22"/>
      <c r="AQ118" s="22"/>
      <c r="AR118" s="22"/>
      <c r="AS118" s="22"/>
    </row>
    <row r="119" spans="1:45" x14ac:dyDescent="0.3">
      <c r="A119" s="22"/>
      <c r="B119" s="71"/>
      <c r="C119" s="22"/>
      <c r="D119" s="23"/>
      <c r="E119" s="22"/>
      <c r="F119" s="22"/>
      <c r="G119" s="22"/>
      <c r="H119" s="23"/>
      <c r="I119" s="22"/>
      <c r="J119" s="22"/>
      <c r="K119" s="22"/>
      <c r="L119" s="23"/>
      <c r="M119" s="71"/>
      <c r="N119" s="71"/>
      <c r="O119" s="22"/>
      <c r="P119" s="22"/>
      <c r="Q119" s="22"/>
      <c r="R119" s="71"/>
      <c r="S119" s="71"/>
      <c r="T119" s="71"/>
      <c r="U119" s="71"/>
      <c r="V119" s="71"/>
      <c r="W119" s="71"/>
      <c r="X119" s="71"/>
      <c r="Y119" s="71"/>
      <c r="Z119" s="71"/>
      <c r="AA119" s="71"/>
      <c r="AB119" s="71"/>
      <c r="AC119" s="22"/>
      <c r="AD119" s="22"/>
      <c r="AE119" s="22"/>
      <c r="AF119" s="22"/>
      <c r="AG119" s="22"/>
      <c r="AH119" s="22"/>
      <c r="AI119" s="22"/>
      <c r="AJ119" s="22"/>
      <c r="AK119" s="22"/>
      <c r="AL119" s="22"/>
      <c r="AM119" s="22"/>
      <c r="AN119" s="22"/>
      <c r="AO119" s="22"/>
      <c r="AP119" s="22"/>
      <c r="AQ119" s="22"/>
      <c r="AR119" s="22"/>
      <c r="AS119" s="22"/>
    </row>
    <row r="120" spans="1:45" x14ac:dyDescent="0.3">
      <c r="A120" s="22"/>
      <c r="B120" s="71"/>
      <c r="C120" s="22"/>
      <c r="D120" s="23"/>
      <c r="E120" s="22"/>
      <c r="F120" s="22"/>
      <c r="G120" s="22"/>
      <c r="H120" s="23"/>
      <c r="I120" s="22"/>
      <c r="J120" s="22"/>
      <c r="K120" s="22"/>
      <c r="L120" s="23"/>
      <c r="M120" s="71"/>
      <c r="N120" s="71"/>
      <c r="O120" s="22"/>
      <c r="P120" s="22"/>
      <c r="Q120" s="22"/>
      <c r="R120" s="71"/>
      <c r="S120" s="71"/>
      <c r="T120" s="71"/>
      <c r="U120" s="71"/>
      <c r="V120" s="71"/>
      <c r="W120" s="71"/>
      <c r="X120" s="71"/>
      <c r="Y120" s="71"/>
      <c r="Z120" s="71"/>
      <c r="AA120" s="71"/>
      <c r="AB120" s="71"/>
      <c r="AC120" s="22"/>
      <c r="AD120" s="22"/>
      <c r="AE120" s="22"/>
      <c r="AF120" s="22"/>
      <c r="AG120" s="22"/>
      <c r="AH120" s="22"/>
      <c r="AI120" s="22"/>
      <c r="AJ120" s="22"/>
      <c r="AK120" s="22"/>
      <c r="AL120" s="22"/>
      <c r="AM120" s="22"/>
      <c r="AN120" s="22"/>
      <c r="AO120" s="22"/>
      <c r="AP120" s="22"/>
      <c r="AQ120" s="22"/>
      <c r="AR120" s="22"/>
      <c r="AS120" s="22"/>
    </row>
    <row r="121" spans="1:45" x14ac:dyDescent="0.3">
      <c r="A121" s="22"/>
      <c r="B121" s="71"/>
      <c r="C121" s="22"/>
      <c r="D121" s="23"/>
      <c r="E121" s="22"/>
      <c r="F121" s="22"/>
      <c r="G121" s="22"/>
      <c r="H121" s="23"/>
      <c r="I121" s="22"/>
      <c r="J121" s="22"/>
      <c r="K121" s="22"/>
      <c r="L121" s="23"/>
      <c r="M121" s="71"/>
      <c r="N121" s="71"/>
      <c r="O121" s="22"/>
      <c r="P121" s="22"/>
      <c r="Q121" s="22"/>
      <c r="R121" s="71"/>
      <c r="S121" s="71"/>
      <c r="T121" s="71"/>
      <c r="U121" s="71"/>
      <c r="V121" s="71"/>
      <c r="W121" s="71"/>
      <c r="X121" s="71"/>
      <c r="Y121" s="71"/>
      <c r="Z121" s="71"/>
      <c r="AA121" s="71"/>
      <c r="AB121" s="71"/>
      <c r="AC121" s="22"/>
      <c r="AD121" s="22"/>
      <c r="AE121" s="22"/>
      <c r="AF121" s="22"/>
      <c r="AG121" s="22"/>
      <c r="AH121" s="22"/>
      <c r="AI121" s="22"/>
      <c r="AJ121" s="22"/>
      <c r="AK121" s="22"/>
      <c r="AL121" s="22"/>
      <c r="AM121" s="22"/>
      <c r="AN121" s="22"/>
      <c r="AO121" s="22"/>
      <c r="AP121" s="22"/>
      <c r="AQ121" s="22"/>
      <c r="AR121" s="22"/>
      <c r="AS121" s="22"/>
    </row>
    <row r="122" spans="1:45" x14ac:dyDescent="0.3">
      <c r="A122" s="22"/>
      <c r="B122" s="71"/>
      <c r="C122" s="22"/>
      <c r="D122" s="23"/>
      <c r="E122" s="22"/>
      <c r="F122" s="22"/>
      <c r="G122" s="22"/>
      <c r="H122" s="23"/>
      <c r="I122" s="22"/>
      <c r="J122" s="22"/>
      <c r="K122" s="22"/>
      <c r="L122" s="23"/>
      <c r="M122" s="71"/>
      <c r="N122" s="71"/>
      <c r="O122" s="22"/>
      <c r="P122" s="22"/>
      <c r="Q122" s="22"/>
      <c r="R122" s="71"/>
      <c r="S122" s="71"/>
      <c r="T122" s="71"/>
      <c r="U122" s="71"/>
      <c r="V122" s="71"/>
      <c r="W122" s="71"/>
      <c r="X122" s="71"/>
      <c r="Y122" s="71"/>
      <c r="Z122" s="71"/>
      <c r="AA122" s="71"/>
      <c r="AB122" s="71"/>
      <c r="AC122" s="22"/>
      <c r="AD122" s="22"/>
      <c r="AE122" s="22"/>
      <c r="AF122" s="22"/>
      <c r="AG122" s="22"/>
      <c r="AH122" s="22"/>
      <c r="AI122" s="22"/>
      <c r="AJ122" s="22"/>
      <c r="AK122" s="22"/>
      <c r="AL122" s="22"/>
      <c r="AM122" s="22"/>
      <c r="AN122" s="22"/>
      <c r="AO122" s="22"/>
      <c r="AP122" s="22"/>
      <c r="AQ122" s="22"/>
      <c r="AR122" s="22"/>
      <c r="AS122" s="22"/>
    </row>
    <row r="123" spans="1:45" x14ac:dyDescent="0.3">
      <c r="A123" s="22"/>
      <c r="B123" s="71"/>
      <c r="C123" s="22"/>
      <c r="D123" s="23"/>
      <c r="E123" s="22"/>
      <c r="F123" s="22"/>
      <c r="G123" s="22"/>
      <c r="H123" s="23"/>
      <c r="I123" s="22"/>
      <c r="J123" s="22"/>
      <c r="K123" s="22"/>
      <c r="L123" s="23"/>
      <c r="M123" s="71"/>
      <c r="N123" s="71"/>
      <c r="O123" s="22"/>
      <c r="P123" s="22"/>
      <c r="Q123" s="22"/>
      <c r="R123" s="71"/>
      <c r="S123" s="71"/>
      <c r="T123" s="71"/>
      <c r="U123" s="71"/>
      <c r="V123" s="71"/>
      <c r="W123" s="71"/>
      <c r="X123" s="71"/>
      <c r="Y123" s="71"/>
      <c r="Z123" s="71"/>
      <c r="AA123" s="71"/>
      <c r="AB123" s="71"/>
      <c r="AC123" s="22"/>
      <c r="AD123" s="22"/>
      <c r="AE123" s="22"/>
      <c r="AF123" s="22"/>
      <c r="AG123" s="22"/>
      <c r="AH123" s="22"/>
      <c r="AI123" s="22"/>
      <c r="AJ123" s="22"/>
      <c r="AK123" s="22"/>
      <c r="AL123" s="22"/>
      <c r="AM123" s="22"/>
      <c r="AN123" s="22"/>
      <c r="AO123" s="22"/>
      <c r="AP123" s="22"/>
      <c r="AQ123" s="22"/>
      <c r="AR123" s="22"/>
      <c r="AS123" s="22"/>
    </row>
    <row r="124" spans="1:45" x14ac:dyDescent="0.3">
      <c r="A124" s="22"/>
      <c r="B124" s="71"/>
      <c r="C124" s="22"/>
      <c r="D124" s="23"/>
      <c r="E124" s="22"/>
      <c r="F124" s="22"/>
      <c r="G124" s="22"/>
      <c r="H124" s="23"/>
      <c r="I124" s="22"/>
      <c r="J124" s="22"/>
      <c r="K124" s="22"/>
      <c r="L124" s="23"/>
      <c r="M124" s="71"/>
      <c r="N124" s="71"/>
      <c r="O124" s="22"/>
      <c r="P124" s="22"/>
      <c r="Q124" s="22"/>
      <c r="R124" s="71"/>
      <c r="S124" s="71"/>
      <c r="T124" s="71"/>
      <c r="U124" s="71"/>
      <c r="V124" s="71"/>
      <c r="W124" s="71"/>
      <c r="X124" s="71"/>
      <c r="Y124" s="71"/>
      <c r="Z124" s="71"/>
      <c r="AA124" s="71"/>
      <c r="AB124" s="71"/>
      <c r="AC124" s="22"/>
      <c r="AD124" s="22"/>
      <c r="AE124" s="22"/>
      <c r="AF124" s="22"/>
      <c r="AG124" s="22"/>
      <c r="AH124" s="22"/>
      <c r="AI124" s="22"/>
      <c r="AJ124" s="22"/>
      <c r="AK124" s="22"/>
      <c r="AL124" s="22"/>
      <c r="AM124" s="22"/>
      <c r="AN124" s="22"/>
      <c r="AO124" s="22"/>
      <c r="AP124" s="22"/>
      <c r="AQ124" s="22"/>
      <c r="AR124" s="22"/>
      <c r="AS124" s="22"/>
    </row>
    <row r="125" spans="1:45" x14ac:dyDescent="0.3">
      <c r="A125" s="22"/>
      <c r="B125" s="71"/>
      <c r="C125" s="22"/>
      <c r="D125" s="23"/>
      <c r="E125" s="22"/>
      <c r="F125" s="22"/>
      <c r="G125" s="22"/>
      <c r="H125" s="23"/>
      <c r="I125" s="22"/>
      <c r="J125" s="22"/>
      <c r="K125" s="22"/>
      <c r="L125" s="23"/>
      <c r="M125" s="71"/>
      <c r="N125" s="71"/>
      <c r="O125" s="22"/>
      <c r="P125" s="22"/>
      <c r="Q125" s="22"/>
      <c r="R125" s="71"/>
      <c r="S125" s="71"/>
      <c r="T125" s="71"/>
      <c r="U125" s="71"/>
      <c r="V125" s="71"/>
      <c r="W125" s="71"/>
      <c r="X125" s="71"/>
      <c r="Y125" s="71"/>
      <c r="Z125" s="71"/>
      <c r="AA125" s="71"/>
      <c r="AB125" s="71"/>
      <c r="AC125" s="22"/>
      <c r="AD125" s="22"/>
      <c r="AE125" s="22"/>
      <c r="AF125" s="22"/>
      <c r="AG125" s="22"/>
      <c r="AH125" s="22"/>
      <c r="AI125" s="22"/>
      <c r="AJ125" s="22"/>
      <c r="AK125" s="22"/>
      <c r="AL125" s="22"/>
      <c r="AM125" s="22"/>
      <c r="AN125" s="22"/>
      <c r="AO125" s="22"/>
      <c r="AP125" s="22"/>
      <c r="AQ125" s="22"/>
      <c r="AR125" s="22"/>
      <c r="AS125" s="22"/>
    </row>
    <row r="126" spans="1:45" x14ac:dyDescent="0.3">
      <c r="A126" s="22"/>
      <c r="B126" s="71"/>
      <c r="C126" s="22"/>
      <c r="D126" s="23"/>
      <c r="E126" s="22"/>
      <c r="F126" s="22"/>
      <c r="G126" s="22"/>
      <c r="H126" s="23"/>
      <c r="I126" s="22"/>
      <c r="J126" s="22"/>
      <c r="K126" s="22"/>
      <c r="L126" s="23"/>
      <c r="M126" s="71"/>
      <c r="N126" s="71"/>
      <c r="O126" s="22"/>
      <c r="P126" s="22"/>
      <c r="Q126" s="22"/>
      <c r="R126" s="71"/>
      <c r="S126" s="71"/>
      <c r="T126" s="71"/>
      <c r="U126" s="71"/>
      <c r="V126" s="71"/>
      <c r="W126" s="71"/>
      <c r="X126" s="71"/>
      <c r="Y126" s="71"/>
      <c r="Z126" s="71"/>
      <c r="AA126" s="71"/>
      <c r="AB126" s="71"/>
      <c r="AC126" s="22"/>
      <c r="AD126" s="22"/>
      <c r="AE126" s="22"/>
      <c r="AF126" s="22"/>
      <c r="AG126" s="22"/>
      <c r="AH126" s="22"/>
      <c r="AI126" s="22"/>
      <c r="AJ126" s="22"/>
      <c r="AK126" s="22"/>
      <c r="AL126" s="22"/>
      <c r="AM126" s="22"/>
      <c r="AN126" s="22"/>
      <c r="AO126" s="22"/>
      <c r="AP126" s="22"/>
      <c r="AQ126" s="22"/>
      <c r="AR126" s="22"/>
      <c r="AS126" s="22"/>
    </row>
    <row r="127" spans="1:45" x14ac:dyDescent="0.3">
      <c r="A127" s="22"/>
      <c r="B127" s="71"/>
      <c r="C127" s="22"/>
      <c r="D127" s="23"/>
      <c r="E127" s="22"/>
      <c r="F127" s="22"/>
      <c r="G127" s="22"/>
      <c r="H127" s="23"/>
      <c r="I127" s="22"/>
      <c r="J127" s="22"/>
      <c r="K127" s="22"/>
      <c r="L127" s="23"/>
      <c r="M127" s="71"/>
      <c r="N127" s="71"/>
      <c r="O127" s="22"/>
      <c r="P127" s="22"/>
      <c r="Q127" s="22"/>
      <c r="R127" s="71"/>
      <c r="S127" s="71"/>
      <c r="T127" s="71"/>
      <c r="U127" s="71"/>
      <c r="V127" s="71"/>
      <c r="W127" s="71"/>
      <c r="X127" s="71"/>
      <c r="Y127" s="71"/>
      <c r="Z127" s="71"/>
      <c r="AA127" s="71"/>
      <c r="AB127" s="71"/>
      <c r="AC127" s="22"/>
      <c r="AD127" s="22"/>
      <c r="AE127" s="22"/>
      <c r="AF127" s="22"/>
      <c r="AG127" s="22"/>
      <c r="AH127" s="22"/>
      <c r="AI127" s="22"/>
      <c r="AJ127" s="22"/>
      <c r="AK127" s="22"/>
      <c r="AL127" s="22"/>
      <c r="AM127" s="22"/>
      <c r="AN127" s="22"/>
      <c r="AO127" s="22"/>
      <c r="AP127" s="22"/>
      <c r="AQ127" s="22"/>
      <c r="AR127" s="22"/>
      <c r="AS127" s="22"/>
    </row>
    <row r="128" spans="1:45" x14ac:dyDescent="0.3">
      <c r="A128" s="22"/>
      <c r="B128" s="71"/>
      <c r="C128" s="22"/>
      <c r="D128" s="23"/>
      <c r="E128" s="22"/>
      <c r="F128" s="22"/>
      <c r="G128" s="22"/>
      <c r="H128" s="23"/>
      <c r="I128" s="22"/>
      <c r="J128" s="22"/>
      <c r="K128" s="22"/>
      <c r="L128" s="23"/>
      <c r="M128" s="71"/>
      <c r="N128" s="71"/>
      <c r="O128" s="22"/>
      <c r="P128" s="22"/>
      <c r="Q128" s="22"/>
      <c r="R128" s="71"/>
      <c r="S128" s="71"/>
      <c r="T128" s="71"/>
      <c r="U128" s="71"/>
      <c r="V128" s="71"/>
      <c r="W128" s="71"/>
      <c r="X128" s="71"/>
      <c r="Y128" s="71"/>
      <c r="Z128" s="71"/>
      <c r="AA128" s="71"/>
      <c r="AB128" s="71"/>
      <c r="AC128" s="22"/>
      <c r="AD128" s="22"/>
      <c r="AE128" s="22"/>
      <c r="AF128" s="22"/>
      <c r="AG128" s="22"/>
      <c r="AH128" s="22"/>
      <c r="AI128" s="22"/>
      <c r="AJ128" s="22"/>
      <c r="AK128" s="22"/>
      <c r="AL128" s="22"/>
      <c r="AM128" s="22"/>
      <c r="AN128" s="22"/>
      <c r="AO128" s="22"/>
      <c r="AP128" s="22"/>
      <c r="AQ128" s="22"/>
      <c r="AR128" s="22"/>
      <c r="AS128" s="22"/>
    </row>
    <row r="129" spans="1:45" x14ac:dyDescent="0.3">
      <c r="A129" s="22"/>
      <c r="B129" s="71"/>
      <c r="C129" s="22"/>
      <c r="D129" s="23"/>
      <c r="E129" s="22"/>
      <c r="F129" s="22"/>
      <c r="G129" s="22"/>
      <c r="H129" s="23"/>
      <c r="I129" s="22"/>
      <c r="J129" s="22"/>
      <c r="K129" s="22"/>
      <c r="L129" s="23"/>
      <c r="M129" s="71"/>
      <c r="N129" s="71"/>
      <c r="O129" s="22"/>
      <c r="P129" s="22"/>
      <c r="Q129" s="22"/>
      <c r="R129" s="71"/>
      <c r="S129" s="71"/>
      <c r="T129" s="71"/>
      <c r="U129" s="71"/>
      <c r="V129" s="71"/>
      <c r="W129" s="71"/>
      <c r="X129" s="71"/>
      <c r="Y129" s="71"/>
      <c r="Z129" s="71"/>
      <c r="AA129" s="71"/>
      <c r="AB129" s="71"/>
      <c r="AC129" s="22"/>
      <c r="AD129" s="22"/>
      <c r="AE129" s="22"/>
      <c r="AF129" s="22"/>
      <c r="AG129" s="22"/>
      <c r="AH129" s="22"/>
      <c r="AI129" s="22"/>
      <c r="AJ129" s="22"/>
      <c r="AK129" s="22"/>
      <c r="AL129" s="22"/>
      <c r="AM129" s="22"/>
      <c r="AN129" s="22"/>
      <c r="AO129" s="22"/>
      <c r="AP129" s="22"/>
      <c r="AQ129" s="22"/>
      <c r="AR129" s="22"/>
      <c r="AS129" s="22"/>
    </row>
    <row r="130" spans="1:45" x14ac:dyDescent="0.3">
      <c r="A130" s="22"/>
      <c r="B130" s="71"/>
      <c r="C130" s="22"/>
      <c r="D130" s="23"/>
      <c r="E130" s="22"/>
      <c r="F130" s="22"/>
      <c r="G130" s="22"/>
      <c r="H130" s="23"/>
      <c r="I130" s="22"/>
      <c r="J130" s="22"/>
      <c r="K130" s="22"/>
      <c r="L130" s="23"/>
      <c r="M130" s="71"/>
      <c r="N130" s="71"/>
      <c r="O130" s="22"/>
      <c r="P130" s="22"/>
      <c r="Q130" s="22"/>
      <c r="R130" s="71"/>
      <c r="S130" s="71"/>
      <c r="T130" s="71"/>
      <c r="U130" s="71"/>
      <c r="V130" s="71"/>
      <c r="W130" s="71"/>
      <c r="X130" s="71"/>
      <c r="Y130" s="71"/>
      <c r="Z130" s="71"/>
      <c r="AA130" s="71"/>
      <c r="AB130" s="71"/>
      <c r="AC130" s="22"/>
      <c r="AD130" s="22"/>
      <c r="AE130" s="22"/>
      <c r="AF130" s="22"/>
      <c r="AG130" s="22"/>
      <c r="AH130" s="22"/>
      <c r="AI130" s="22"/>
      <c r="AJ130" s="22"/>
      <c r="AK130" s="22"/>
      <c r="AL130" s="22"/>
      <c r="AM130" s="22"/>
      <c r="AN130" s="22"/>
      <c r="AO130" s="22"/>
      <c r="AP130" s="22"/>
      <c r="AQ130" s="22"/>
      <c r="AR130" s="22"/>
      <c r="AS130" s="22"/>
    </row>
    <row r="131" spans="1:45" x14ac:dyDescent="0.3">
      <c r="A131" s="22"/>
      <c r="B131" s="71"/>
      <c r="C131" s="22"/>
      <c r="D131" s="23"/>
      <c r="E131" s="22"/>
      <c r="F131" s="22"/>
      <c r="G131" s="22"/>
      <c r="H131" s="23"/>
      <c r="I131" s="22"/>
      <c r="J131" s="22"/>
      <c r="K131" s="22"/>
      <c r="L131" s="23"/>
      <c r="M131" s="71"/>
      <c r="N131" s="71"/>
      <c r="O131" s="22"/>
      <c r="P131" s="22"/>
      <c r="Q131" s="22"/>
      <c r="R131" s="71"/>
      <c r="S131" s="71"/>
      <c r="T131" s="71"/>
      <c r="U131" s="71"/>
      <c r="V131" s="71"/>
      <c r="W131" s="71"/>
      <c r="X131" s="71"/>
      <c r="Y131" s="71"/>
      <c r="Z131" s="71"/>
      <c r="AA131" s="71"/>
      <c r="AB131" s="71"/>
      <c r="AC131" s="22"/>
      <c r="AD131" s="22"/>
      <c r="AE131" s="22"/>
      <c r="AF131" s="22"/>
      <c r="AG131" s="22"/>
      <c r="AH131" s="22"/>
      <c r="AI131" s="22"/>
      <c r="AJ131" s="22"/>
      <c r="AK131" s="22"/>
      <c r="AL131" s="22"/>
      <c r="AM131" s="22"/>
      <c r="AN131" s="22"/>
      <c r="AO131" s="22"/>
      <c r="AP131" s="22"/>
      <c r="AQ131" s="22"/>
      <c r="AR131" s="22"/>
      <c r="AS131" s="22"/>
    </row>
    <row r="132" spans="1:45" x14ac:dyDescent="0.3">
      <c r="A132" s="22"/>
      <c r="B132" s="71"/>
      <c r="C132" s="22"/>
      <c r="D132" s="23"/>
      <c r="E132" s="22"/>
      <c r="F132" s="22"/>
      <c r="G132" s="22"/>
      <c r="H132" s="23"/>
      <c r="I132" s="22"/>
      <c r="J132" s="22"/>
      <c r="K132" s="22"/>
      <c r="L132" s="23"/>
      <c r="M132" s="71"/>
      <c r="N132" s="71"/>
      <c r="O132" s="22"/>
      <c r="P132" s="22"/>
      <c r="Q132" s="22"/>
      <c r="R132" s="71"/>
      <c r="S132" s="71"/>
      <c r="T132" s="71"/>
      <c r="U132" s="71"/>
      <c r="V132" s="71"/>
      <c r="W132" s="71"/>
      <c r="X132" s="71"/>
      <c r="Y132" s="71"/>
      <c r="Z132" s="71"/>
      <c r="AA132" s="71"/>
      <c r="AB132" s="71"/>
      <c r="AC132" s="22"/>
      <c r="AD132" s="22"/>
      <c r="AE132" s="22"/>
      <c r="AF132" s="22"/>
      <c r="AG132" s="22"/>
      <c r="AH132" s="22"/>
      <c r="AI132" s="22"/>
      <c r="AJ132" s="22"/>
      <c r="AK132" s="22"/>
      <c r="AL132" s="22"/>
      <c r="AM132" s="22"/>
      <c r="AN132" s="22"/>
      <c r="AO132" s="22"/>
      <c r="AP132" s="22"/>
      <c r="AQ132" s="22"/>
      <c r="AR132" s="22"/>
      <c r="AS132" s="22"/>
    </row>
    <row r="133" spans="1:45" x14ac:dyDescent="0.3">
      <c r="A133" s="22"/>
      <c r="B133" s="71"/>
      <c r="C133" s="22"/>
      <c r="D133" s="23"/>
      <c r="E133" s="22"/>
      <c r="F133" s="22"/>
      <c r="G133" s="22"/>
      <c r="H133" s="23"/>
      <c r="I133" s="22"/>
      <c r="J133" s="22"/>
      <c r="K133" s="22"/>
      <c r="L133" s="23"/>
      <c r="M133" s="71"/>
      <c r="N133" s="71"/>
      <c r="O133" s="22"/>
      <c r="P133" s="22"/>
      <c r="Q133" s="22"/>
      <c r="R133" s="71"/>
      <c r="S133" s="71"/>
      <c r="T133" s="71"/>
      <c r="U133" s="71"/>
      <c r="V133" s="71"/>
      <c r="W133" s="71"/>
      <c r="X133" s="71"/>
      <c r="Y133" s="71"/>
      <c r="Z133" s="71"/>
      <c r="AA133" s="71"/>
      <c r="AB133" s="71"/>
      <c r="AC133" s="22"/>
      <c r="AD133" s="22"/>
      <c r="AE133" s="22"/>
      <c r="AF133" s="22"/>
      <c r="AG133" s="22"/>
      <c r="AH133" s="22"/>
      <c r="AI133" s="22"/>
      <c r="AJ133" s="22"/>
      <c r="AK133" s="22"/>
      <c r="AL133" s="22"/>
      <c r="AM133" s="22"/>
      <c r="AN133" s="22"/>
      <c r="AO133" s="22"/>
      <c r="AP133" s="22"/>
      <c r="AQ133" s="22"/>
      <c r="AR133" s="22"/>
      <c r="AS133" s="22"/>
    </row>
    <row r="134" spans="1:45" x14ac:dyDescent="0.3">
      <c r="A134" s="22"/>
      <c r="B134" s="71"/>
      <c r="C134" s="22"/>
      <c r="D134" s="23"/>
      <c r="E134" s="22"/>
      <c r="F134" s="22"/>
      <c r="G134" s="22"/>
      <c r="H134" s="23"/>
      <c r="I134" s="22"/>
      <c r="J134" s="22"/>
      <c r="K134" s="22"/>
      <c r="L134" s="23"/>
      <c r="M134" s="71"/>
      <c r="N134" s="71"/>
      <c r="O134" s="22"/>
      <c r="P134" s="22"/>
      <c r="Q134" s="22"/>
      <c r="R134" s="71"/>
      <c r="S134" s="71"/>
      <c r="T134" s="71"/>
      <c r="U134" s="71"/>
      <c r="V134" s="71"/>
      <c r="W134" s="71"/>
      <c r="X134" s="71"/>
      <c r="Y134" s="71"/>
      <c r="Z134" s="71"/>
      <c r="AA134" s="71"/>
      <c r="AB134" s="71"/>
      <c r="AC134" s="22"/>
      <c r="AD134" s="22"/>
      <c r="AE134" s="22"/>
      <c r="AF134" s="22"/>
      <c r="AG134" s="22"/>
      <c r="AH134" s="22"/>
      <c r="AI134" s="22"/>
      <c r="AJ134" s="22"/>
      <c r="AK134" s="22"/>
      <c r="AL134" s="22"/>
      <c r="AM134" s="22"/>
      <c r="AN134" s="22"/>
      <c r="AO134" s="22"/>
      <c r="AP134" s="22"/>
      <c r="AQ134" s="22"/>
      <c r="AR134" s="22"/>
      <c r="AS134" s="22"/>
    </row>
    <row r="135" spans="1:45" x14ac:dyDescent="0.3">
      <c r="A135" s="22"/>
      <c r="B135" s="71"/>
      <c r="C135" s="22"/>
      <c r="D135" s="23"/>
      <c r="E135" s="22"/>
      <c r="F135" s="22"/>
      <c r="G135" s="22"/>
      <c r="H135" s="23"/>
      <c r="I135" s="22"/>
      <c r="J135" s="22"/>
      <c r="K135" s="22"/>
      <c r="L135" s="23"/>
      <c r="M135" s="71"/>
      <c r="N135" s="71"/>
      <c r="O135" s="22"/>
      <c r="P135" s="22"/>
      <c r="Q135" s="22"/>
      <c r="R135" s="71"/>
      <c r="S135" s="71"/>
      <c r="T135" s="71"/>
      <c r="U135" s="71"/>
      <c r="V135" s="71"/>
      <c r="W135" s="71"/>
      <c r="X135" s="71"/>
      <c r="Y135" s="71"/>
      <c r="Z135" s="71"/>
      <c r="AA135" s="71"/>
      <c r="AB135" s="71"/>
      <c r="AC135" s="22"/>
      <c r="AD135" s="22"/>
      <c r="AE135" s="22"/>
      <c r="AF135" s="22"/>
      <c r="AG135" s="22"/>
      <c r="AH135" s="22"/>
      <c r="AI135" s="22"/>
      <c r="AJ135" s="22"/>
      <c r="AK135" s="22"/>
      <c r="AL135" s="22"/>
      <c r="AM135" s="22"/>
      <c r="AN135" s="22"/>
      <c r="AO135" s="22"/>
      <c r="AP135" s="22"/>
      <c r="AQ135" s="22"/>
      <c r="AR135" s="22"/>
      <c r="AS135" s="22"/>
    </row>
    <row r="136" spans="1:45" x14ac:dyDescent="0.3">
      <c r="A136" s="22"/>
      <c r="B136" s="71"/>
      <c r="C136" s="22"/>
      <c r="D136" s="23"/>
      <c r="E136" s="22"/>
      <c r="F136" s="22"/>
      <c r="G136" s="22"/>
      <c r="H136" s="23"/>
      <c r="I136" s="22"/>
      <c r="J136" s="22"/>
      <c r="K136" s="22"/>
      <c r="L136" s="23"/>
      <c r="M136" s="71"/>
      <c r="N136" s="71"/>
      <c r="O136" s="22"/>
      <c r="P136" s="22"/>
      <c r="Q136" s="22"/>
      <c r="R136" s="71"/>
      <c r="S136" s="71"/>
      <c r="T136" s="71"/>
      <c r="U136" s="71"/>
      <c r="V136" s="71"/>
      <c r="W136" s="71"/>
      <c r="X136" s="71"/>
      <c r="Y136" s="71"/>
      <c r="Z136" s="71"/>
      <c r="AA136" s="71"/>
      <c r="AB136" s="71"/>
      <c r="AC136" s="22"/>
      <c r="AD136" s="22"/>
      <c r="AE136" s="22"/>
      <c r="AF136" s="22"/>
      <c r="AG136" s="22"/>
      <c r="AH136" s="22"/>
      <c r="AI136" s="22"/>
      <c r="AJ136" s="22"/>
      <c r="AK136" s="22"/>
      <c r="AL136" s="22"/>
      <c r="AM136" s="22"/>
      <c r="AN136" s="22"/>
      <c r="AO136" s="22"/>
      <c r="AP136" s="22"/>
      <c r="AQ136" s="22"/>
      <c r="AR136" s="22"/>
      <c r="AS136" s="22"/>
    </row>
    <row r="137" spans="1:45" x14ac:dyDescent="0.3">
      <c r="A137" s="22"/>
      <c r="B137" s="71"/>
      <c r="C137" s="22"/>
      <c r="D137" s="23"/>
      <c r="E137" s="22"/>
      <c r="F137" s="22"/>
      <c r="G137" s="22"/>
      <c r="H137" s="23"/>
      <c r="I137" s="22"/>
      <c r="J137" s="22"/>
      <c r="K137" s="22"/>
      <c r="L137" s="23"/>
      <c r="M137" s="71"/>
      <c r="N137" s="71"/>
      <c r="O137" s="22"/>
      <c r="P137" s="22"/>
      <c r="Q137" s="22"/>
      <c r="R137" s="71"/>
      <c r="S137" s="71"/>
      <c r="T137" s="71"/>
      <c r="U137" s="71"/>
      <c r="V137" s="71"/>
      <c r="W137" s="71"/>
      <c r="X137" s="71"/>
      <c r="Y137" s="71"/>
      <c r="Z137" s="71"/>
      <c r="AA137" s="71"/>
      <c r="AB137" s="71"/>
      <c r="AC137" s="22"/>
      <c r="AD137" s="22"/>
      <c r="AE137" s="22"/>
      <c r="AF137" s="22"/>
      <c r="AG137" s="22"/>
      <c r="AH137" s="22"/>
      <c r="AI137" s="22"/>
      <c r="AJ137" s="22"/>
      <c r="AK137" s="22"/>
      <c r="AL137" s="22"/>
      <c r="AM137" s="22"/>
      <c r="AN137" s="22"/>
      <c r="AO137" s="22"/>
      <c r="AP137" s="22"/>
      <c r="AQ137" s="22"/>
      <c r="AR137" s="22"/>
      <c r="AS137" s="22"/>
    </row>
    <row r="138" spans="1:45" x14ac:dyDescent="0.3">
      <c r="A138" s="22"/>
      <c r="B138" s="71"/>
      <c r="C138" s="22"/>
      <c r="D138" s="23"/>
      <c r="E138" s="22"/>
      <c r="F138" s="22"/>
      <c r="G138" s="22"/>
      <c r="H138" s="23"/>
      <c r="I138" s="22"/>
      <c r="J138" s="22"/>
      <c r="K138" s="22"/>
      <c r="L138" s="23"/>
      <c r="M138" s="71"/>
      <c r="N138" s="71"/>
      <c r="O138" s="22"/>
      <c r="P138" s="22"/>
      <c r="Q138" s="22"/>
      <c r="R138" s="71"/>
      <c r="S138" s="71"/>
      <c r="T138" s="71"/>
      <c r="U138" s="71"/>
      <c r="V138" s="71"/>
      <c r="W138" s="71"/>
      <c r="X138" s="71"/>
      <c r="Y138" s="71"/>
      <c r="Z138" s="71"/>
      <c r="AA138" s="71"/>
      <c r="AB138" s="71"/>
      <c r="AC138" s="22"/>
      <c r="AD138" s="22"/>
      <c r="AE138" s="22"/>
      <c r="AF138" s="22"/>
      <c r="AG138" s="22"/>
      <c r="AH138" s="22"/>
      <c r="AI138" s="22"/>
      <c r="AJ138" s="22"/>
      <c r="AK138" s="22"/>
      <c r="AL138" s="22"/>
      <c r="AM138" s="22"/>
      <c r="AN138" s="22"/>
      <c r="AO138" s="22"/>
      <c r="AP138" s="22"/>
      <c r="AQ138" s="22"/>
      <c r="AR138" s="22"/>
      <c r="AS138" s="22"/>
    </row>
    <row r="139" spans="1:45" x14ac:dyDescent="0.3">
      <c r="A139" s="22"/>
      <c r="B139" s="71"/>
      <c r="C139" s="22"/>
      <c r="D139" s="23"/>
      <c r="E139" s="22"/>
      <c r="F139" s="22"/>
      <c r="G139" s="22"/>
      <c r="H139" s="23"/>
      <c r="I139" s="22"/>
      <c r="J139" s="22"/>
      <c r="K139" s="22"/>
      <c r="L139" s="23"/>
      <c r="M139" s="71"/>
      <c r="N139" s="71"/>
      <c r="O139" s="22"/>
      <c r="P139" s="22"/>
      <c r="Q139" s="22"/>
      <c r="R139" s="71"/>
      <c r="S139" s="71"/>
      <c r="T139" s="71"/>
      <c r="U139" s="71"/>
      <c r="V139" s="71"/>
      <c r="W139" s="71"/>
      <c r="X139" s="71"/>
      <c r="Y139" s="71"/>
      <c r="Z139" s="71"/>
      <c r="AA139" s="71"/>
      <c r="AB139" s="71"/>
      <c r="AC139" s="22"/>
      <c r="AD139" s="22"/>
      <c r="AE139" s="22"/>
      <c r="AF139" s="22"/>
      <c r="AG139" s="22"/>
      <c r="AH139" s="22"/>
      <c r="AI139" s="22"/>
      <c r="AJ139" s="22"/>
      <c r="AK139" s="22"/>
      <c r="AL139" s="22"/>
      <c r="AM139" s="22"/>
      <c r="AN139" s="22"/>
      <c r="AO139" s="22"/>
      <c r="AP139" s="22"/>
      <c r="AQ139" s="22"/>
      <c r="AR139" s="22"/>
      <c r="AS139" s="22"/>
    </row>
    <row r="140" spans="1:45" x14ac:dyDescent="0.3">
      <c r="A140" s="22"/>
      <c r="B140" s="71"/>
      <c r="C140" s="22"/>
      <c r="D140" s="23"/>
      <c r="E140" s="22"/>
      <c r="F140" s="22"/>
      <c r="G140" s="22"/>
      <c r="H140" s="23"/>
      <c r="I140" s="22"/>
      <c r="J140" s="22"/>
      <c r="K140" s="22"/>
      <c r="L140" s="23"/>
      <c r="M140" s="71"/>
      <c r="N140" s="71"/>
      <c r="O140" s="22"/>
      <c r="P140" s="22"/>
      <c r="Q140" s="22"/>
      <c r="R140" s="71"/>
      <c r="S140" s="71"/>
      <c r="T140" s="71"/>
      <c r="U140" s="71"/>
      <c r="V140" s="71"/>
      <c r="W140" s="71"/>
      <c r="X140" s="71"/>
      <c r="Y140" s="71"/>
      <c r="Z140" s="71"/>
      <c r="AA140" s="71"/>
      <c r="AB140" s="71"/>
      <c r="AC140" s="22"/>
      <c r="AD140" s="22"/>
      <c r="AE140" s="22"/>
      <c r="AF140" s="22"/>
      <c r="AG140" s="22"/>
      <c r="AH140" s="22"/>
      <c r="AI140" s="22"/>
      <c r="AJ140" s="22"/>
      <c r="AK140" s="22"/>
      <c r="AL140" s="22"/>
      <c r="AM140" s="22"/>
      <c r="AN140" s="22"/>
      <c r="AO140" s="22"/>
      <c r="AP140" s="22"/>
      <c r="AQ140" s="22"/>
      <c r="AR140" s="22"/>
      <c r="AS140" s="22"/>
    </row>
    <row r="141" spans="1:45" x14ac:dyDescent="0.3">
      <c r="A141" s="22"/>
      <c r="B141" s="71"/>
      <c r="C141" s="22"/>
      <c r="D141" s="23"/>
      <c r="E141" s="22"/>
      <c r="F141" s="22"/>
      <c r="G141" s="22"/>
      <c r="H141" s="23"/>
      <c r="I141" s="22"/>
      <c r="J141" s="22"/>
      <c r="K141" s="22"/>
      <c r="L141" s="23"/>
      <c r="M141" s="71"/>
      <c r="N141" s="71"/>
      <c r="O141" s="22"/>
      <c r="P141" s="22"/>
      <c r="Q141" s="22"/>
      <c r="R141" s="71"/>
      <c r="S141" s="71"/>
      <c r="T141" s="71"/>
      <c r="U141" s="71"/>
      <c r="V141" s="71"/>
      <c r="W141" s="71"/>
      <c r="X141" s="71"/>
      <c r="Y141" s="71"/>
      <c r="Z141" s="71"/>
      <c r="AA141" s="71"/>
      <c r="AB141" s="71"/>
      <c r="AC141" s="22"/>
      <c r="AD141" s="22"/>
      <c r="AE141" s="22"/>
      <c r="AF141" s="22"/>
      <c r="AG141" s="22"/>
      <c r="AH141" s="22"/>
      <c r="AI141" s="22"/>
      <c r="AJ141" s="22"/>
      <c r="AK141" s="22"/>
      <c r="AL141" s="22"/>
      <c r="AM141" s="22"/>
      <c r="AN141" s="22"/>
      <c r="AO141" s="22"/>
      <c r="AP141" s="22"/>
      <c r="AQ141" s="22"/>
      <c r="AR141" s="22"/>
      <c r="AS141" s="22"/>
    </row>
    <row r="142" spans="1:45" x14ac:dyDescent="0.3">
      <c r="A142" s="22"/>
      <c r="B142" s="71"/>
      <c r="C142" s="22"/>
      <c r="D142" s="23"/>
      <c r="E142" s="22"/>
      <c r="F142" s="22"/>
      <c r="G142" s="22"/>
      <c r="H142" s="23"/>
      <c r="I142" s="22"/>
      <c r="J142" s="22"/>
      <c r="K142" s="22"/>
      <c r="L142" s="23"/>
      <c r="M142" s="71"/>
      <c r="N142" s="71"/>
      <c r="O142" s="22"/>
      <c r="P142" s="22"/>
      <c r="Q142" s="22"/>
      <c r="R142" s="71"/>
      <c r="S142" s="71"/>
      <c r="T142" s="71"/>
      <c r="U142" s="71"/>
      <c r="V142" s="71"/>
      <c r="W142" s="71"/>
      <c r="X142" s="71"/>
      <c r="Y142" s="71"/>
      <c r="Z142" s="71"/>
      <c r="AA142" s="71"/>
      <c r="AB142" s="71"/>
      <c r="AC142" s="22"/>
      <c r="AD142" s="22"/>
      <c r="AE142" s="22"/>
      <c r="AF142" s="22"/>
      <c r="AG142" s="22"/>
      <c r="AH142" s="22"/>
      <c r="AI142" s="22"/>
      <c r="AJ142" s="22"/>
      <c r="AK142" s="22"/>
      <c r="AL142" s="22"/>
      <c r="AM142" s="22"/>
      <c r="AN142" s="22"/>
      <c r="AO142" s="22"/>
      <c r="AP142" s="22"/>
      <c r="AQ142" s="22"/>
      <c r="AR142" s="22"/>
      <c r="AS142" s="22"/>
    </row>
    <row r="143" spans="1:45" x14ac:dyDescent="0.3">
      <c r="A143" s="22"/>
      <c r="B143" s="71"/>
      <c r="C143" s="22"/>
      <c r="D143" s="23"/>
      <c r="E143" s="22"/>
      <c r="F143" s="22"/>
      <c r="G143" s="22"/>
      <c r="H143" s="23"/>
      <c r="I143" s="22"/>
      <c r="J143" s="22"/>
      <c r="K143" s="22"/>
      <c r="L143" s="23"/>
      <c r="M143" s="71"/>
      <c r="N143" s="71"/>
      <c r="O143" s="22"/>
      <c r="P143" s="22"/>
      <c r="Q143" s="22"/>
      <c r="R143" s="71"/>
      <c r="AC143" s="22"/>
      <c r="AD143" s="22"/>
      <c r="AE143" s="22"/>
      <c r="AF143" s="22"/>
      <c r="AG143" s="22"/>
      <c r="AH143" s="22"/>
      <c r="AI143" s="22"/>
      <c r="AJ143" s="22"/>
      <c r="AK143" s="22"/>
      <c r="AL143" s="22"/>
      <c r="AM143" s="22"/>
      <c r="AN143" s="22"/>
      <c r="AO143" s="22"/>
      <c r="AP143" s="22"/>
      <c r="AQ143" s="22"/>
      <c r="AR143" s="22"/>
      <c r="AS143" s="22"/>
    </row>
    <row r="144" spans="1:45" x14ac:dyDescent="0.3">
      <c r="A144" s="22"/>
      <c r="B144" s="71"/>
      <c r="C144" s="22"/>
      <c r="D144" s="23"/>
      <c r="E144" s="22"/>
      <c r="F144" s="22"/>
      <c r="G144" s="22"/>
      <c r="H144" s="23"/>
      <c r="I144" s="22"/>
      <c r="J144" s="22"/>
      <c r="K144" s="22"/>
      <c r="L144" s="23"/>
      <c r="M144" s="71"/>
      <c r="N144" s="71"/>
      <c r="O144" s="22"/>
      <c r="P144" s="22"/>
      <c r="Q144" s="22"/>
      <c r="R144" s="71"/>
      <c r="AC144" s="22"/>
      <c r="AD144" s="22"/>
      <c r="AE144" s="22"/>
      <c r="AF144" s="22"/>
      <c r="AG144" s="22"/>
      <c r="AH144" s="22"/>
      <c r="AI144" s="22"/>
      <c r="AJ144" s="22"/>
      <c r="AK144" s="22"/>
      <c r="AL144" s="22"/>
      <c r="AM144" s="22"/>
      <c r="AN144" s="22"/>
      <c r="AO144" s="22"/>
      <c r="AP144" s="22"/>
      <c r="AQ144" s="22"/>
      <c r="AR144" s="22"/>
      <c r="AS144" s="22"/>
    </row>
    <row r="145" spans="1:45" x14ac:dyDescent="0.3">
      <c r="A145" s="22"/>
      <c r="B145" s="71"/>
      <c r="C145" s="22"/>
      <c r="D145" s="23"/>
      <c r="E145" s="22"/>
      <c r="F145" s="22"/>
      <c r="G145" s="22"/>
      <c r="H145" s="23"/>
      <c r="I145" s="22"/>
      <c r="J145" s="22"/>
      <c r="K145" s="22"/>
      <c r="L145" s="23"/>
      <c r="M145" s="71"/>
      <c r="N145" s="71"/>
      <c r="O145" s="22"/>
      <c r="P145" s="22"/>
      <c r="Q145" s="22"/>
      <c r="R145" s="71"/>
      <c r="AC145" s="22"/>
      <c r="AD145" s="22"/>
      <c r="AE145" s="22"/>
      <c r="AF145" s="22"/>
      <c r="AG145" s="22"/>
      <c r="AH145" s="22"/>
      <c r="AI145" s="22"/>
      <c r="AJ145" s="22"/>
      <c r="AK145" s="22"/>
      <c r="AL145" s="22"/>
      <c r="AM145" s="22"/>
      <c r="AN145" s="22"/>
      <c r="AO145" s="22"/>
      <c r="AP145" s="22"/>
      <c r="AQ145" s="22"/>
      <c r="AR145" s="22"/>
      <c r="AS145" s="22"/>
    </row>
    <row r="146" spans="1:45" x14ac:dyDescent="0.3">
      <c r="A146" s="22"/>
      <c r="B146" s="71"/>
      <c r="C146" s="22"/>
      <c r="D146" s="23"/>
      <c r="E146" s="22"/>
      <c r="F146" s="22"/>
      <c r="G146" s="22"/>
      <c r="H146" s="23"/>
      <c r="I146" s="22"/>
      <c r="J146" s="22"/>
      <c r="K146" s="22"/>
      <c r="L146" s="23"/>
      <c r="M146" s="71"/>
      <c r="N146" s="71"/>
      <c r="O146" s="22"/>
      <c r="P146" s="22"/>
      <c r="Q146" s="22"/>
      <c r="R146" s="71"/>
      <c r="AC146" s="22"/>
      <c r="AD146" s="22"/>
      <c r="AE146" s="22"/>
      <c r="AF146" s="22"/>
      <c r="AG146" s="22"/>
      <c r="AH146" s="22"/>
      <c r="AI146" s="22"/>
      <c r="AJ146" s="22"/>
      <c r="AK146" s="22"/>
      <c r="AL146" s="22"/>
      <c r="AM146" s="22"/>
      <c r="AN146" s="22"/>
      <c r="AO146" s="22"/>
      <c r="AP146" s="22"/>
      <c r="AQ146" s="22"/>
      <c r="AR146" s="22"/>
      <c r="AS146" s="22"/>
    </row>
    <row r="147" spans="1:45" x14ac:dyDescent="0.3">
      <c r="A147" s="22"/>
      <c r="B147" s="71"/>
      <c r="C147" s="22"/>
      <c r="D147" s="23"/>
      <c r="E147" s="22"/>
      <c r="F147" s="22"/>
      <c r="G147" s="22"/>
      <c r="H147" s="23"/>
      <c r="I147" s="22"/>
      <c r="J147" s="22"/>
      <c r="K147" s="22"/>
      <c r="L147" s="23"/>
      <c r="M147" s="71"/>
      <c r="N147" s="71"/>
      <c r="O147" s="22"/>
      <c r="P147" s="22"/>
      <c r="Q147" s="22"/>
      <c r="R147" s="71"/>
      <c r="AC147" s="22"/>
      <c r="AD147" s="22"/>
      <c r="AE147" s="22"/>
      <c r="AF147" s="22"/>
      <c r="AG147" s="22"/>
      <c r="AH147" s="22"/>
      <c r="AI147" s="22"/>
      <c r="AJ147" s="22"/>
      <c r="AK147" s="22"/>
      <c r="AL147" s="22"/>
      <c r="AM147" s="22"/>
      <c r="AN147" s="22"/>
      <c r="AO147" s="22"/>
      <c r="AP147" s="22"/>
      <c r="AQ147" s="22"/>
      <c r="AR147" s="22"/>
      <c r="AS147" s="22"/>
    </row>
    <row r="148" spans="1:45" x14ac:dyDescent="0.3">
      <c r="A148" s="22"/>
      <c r="B148" s="71"/>
      <c r="C148" s="22"/>
      <c r="D148" s="23"/>
      <c r="E148" s="22"/>
      <c r="F148" s="22"/>
      <c r="G148" s="22"/>
      <c r="H148" s="23"/>
      <c r="I148" s="22"/>
      <c r="J148" s="22"/>
      <c r="K148" s="22"/>
      <c r="L148" s="23"/>
      <c r="M148" s="71"/>
      <c r="N148" s="71"/>
      <c r="O148" s="22"/>
      <c r="P148" s="22"/>
      <c r="Q148" s="22"/>
      <c r="R148" s="71"/>
      <c r="AC148" s="22"/>
      <c r="AD148" s="22"/>
      <c r="AE148" s="22"/>
      <c r="AF148" s="22"/>
      <c r="AG148" s="22"/>
      <c r="AH148" s="22"/>
      <c r="AI148" s="22"/>
      <c r="AJ148" s="22"/>
      <c r="AK148" s="22"/>
      <c r="AL148" s="22"/>
      <c r="AM148" s="22"/>
      <c r="AN148" s="22"/>
      <c r="AO148" s="22"/>
      <c r="AP148" s="22"/>
      <c r="AQ148" s="22"/>
      <c r="AR148" s="22"/>
      <c r="AS148" s="22"/>
    </row>
    <row r="149" spans="1:45" x14ac:dyDescent="0.3">
      <c r="A149" s="22"/>
      <c r="B149" s="71"/>
      <c r="C149" s="22"/>
      <c r="D149" s="23"/>
      <c r="E149" s="22"/>
      <c r="F149" s="22"/>
      <c r="G149" s="22"/>
      <c r="H149" s="23"/>
      <c r="I149" s="22"/>
      <c r="J149" s="22"/>
      <c r="K149" s="22"/>
      <c r="L149" s="23"/>
      <c r="M149" s="71"/>
      <c r="N149" s="71"/>
      <c r="O149" s="22"/>
      <c r="P149" s="22"/>
      <c r="Q149" s="22"/>
      <c r="R149" s="71"/>
      <c r="AC149" s="22"/>
      <c r="AD149" s="22"/>
      <c r="AE149" s="22"/>
      <c r="AF149" s="22"/>
      <c r="AG149" s="22"/>
      <c r="AH149" s="22"/>
      <c r="AI149" s="22"/>
      <c r="AJ149" s="22"/>
      <c r="AK149" s="22"/>
      <c r="AL149" s="22"/>
      <c r="AM149" s="22"/>
      <c r="AN149" s="22"/>
      <c r="AO149" s="22"/>
      <c r="AP149" s="22"/>
      <c r="AQ149" s="22"/>
      <c r="AR149" s="22"/>
      <c r="AS149" s="22"/>
    </row>
    <row r="150" spans="1:45" x14ac:dyDescent="0.3">
      <c r="A150" s="22"/>
      <c r="B150" s="71"/>
      <c r="C150" s="22"/>
      <c r="D150" s="23"/>
      <c r="E150" s="22"/>
      <c r="F150" s="22"/>
      <c r="G150" s="22"/>
      <c r="H150" s="23"/>
      <c r="I150" s="22"/>
      <c r="J150" s="22"/>
      <c r="K150" s="22"/>
      <c r="L150" s="23"/>
      <c r="M150" s="71"/>
      <c r="N150" s="71"/>
      <c r="O150" s="22"/>
      <c r="P150" s="22"/>
      <c r="Q150" s="22"/>
      <c r="R150" s="71"/>
      <c r="AC150" s="22"/>
      <c r="AD150" s="22"/>
      <c r="AE150" s="22"/>
      <c r="AF150" s="22"/>
      <c r="AG150" s="22"/>
      <c r="AH150" s="22"/>
      <c r="AI150" s="22"/>
      <c r="AJ150" s="22"/>
      <c r="AK150" s="22"/>
      <c r="AL150" s="22"/>
      <c r="AM150" s="22"/>
      <c r="AN150" s="22"/>
      <c r="AO150" s="22"/>
      <c r="AP150" s="22"/>
      <c r="AQ150" s="22"/>
      <c r="AR150" s="22"/>
      <c r="AS150" s="22"/>
    </row>
    <row r="151" spans="1:45" x14ac:dyDescent="0.3">
      <c r="A151" s="22"/>
      <c r="B151" s="71"/>
      <c r="C151" s="22"/>
      <c r="D151" s="23"/>
      <c r="E151" s="22"/>
      <c r="F151" s="22"/>
      <c r="G151" s="22"/>
      <c r="H151" s="23"/>
      <c r="I151" s="22"/>
      <c r="J151" s="22"/>
      <c r="K151" s="22"/>
      <c r="L151" s="23"/>
      <c r="M151" s="71"/>
      <c r="N151" s="71"/>
      <c r="O151" s="22"/>
      <c r="P151" s="22"/>
      <c r="Q151" s="22"/>
      <c r="R151" s="71"/>
      <c r="AC151" s="22"/>
      <c r="AD151" s="22"/>
      <c r="AE151" s="22"/>
      <c r="AF151" s="22"/>
      <c r="AG151" s="22"/>
      <c r="AH151" s="22"/>
      <c r="AI151" s="22"/>
      <c r="AJ151" s="22"/>
      <c r="AK151" s="22"/>
      <c r="AL151" s="22"/>
      <c r="AM151" s="22"/>
      <c r="AN151" s="22"/>
      <c r="AO151" s="22"/>
      <c r="AP151" s="22"/>
      <c r="AQ151" s="22"/>
      <c r="AR151" s="22"/>
      <c r="AS151" s="22"/>
    </row>
    <row r="152" spans="1:45" x14ac:dyDescent="0.3">
      <c r="A152" s="22"/>
      <c r="B152" s="71"/>
      <c r="C152" s="22"/>
      <c r="D152" s="23"/>
      <c r="E152" s="22"/>
      <c r="F152" s="22"/>
      <c r="G152" s="22"/>
      <c r="H152" s="23"/>
      <c r="I152" s="22"/>
      <c r="J152" s="22"/>
      <c r="K152" s="22"/>
      <c r="L152" s="23"/>
      <c r="M152" s="71"/>
      <c r="N152" s="71"/>
      <c r="O152" s="22"/>
      <c r="P152" s="22"/>
      <c r="Q152" s="22"/>
      <c r="R152" s="71"/>
      <c r="AC152" s="22"/>
      <c r="AD152" s="22"/>
      <c r="AE152" s="22"/>
      <c r="AF152" s="22"/>
      <c r="AG152" s="22"/>
      <c r="AH152" s="22"/>
      <c r="AI152" s="22"/>
      <c r="AJ152" s="22"/>
      <c r="AK152" s="22"/>
      <c r="AL152" s="22"/>
      <c r="AM152" s="22"/>
      <c r="AN152" s="22"/>
      <c r="AO152" s="22"/>
      <c r="AP152" s="22"/>
      <c r="AQ152" s="22"/>
      <c r="AR152" s="22"/>
      <c r="AS152" s="22"/>
    </row>
    <row r="153" spans="1:45" x14ac:dyDescent="0.3">
      <c r="A153" s="22"/>
      <c r="B153" s="71"/>
      <c r="C153" s="22"/>
      <c r="D153" s="23"/>
      <c r="E153" s="22"/>
      <c r="F153" s="22"/>
      <c r="G153" s="22"/>
      <c r="H153" s="23"/>
      <c r="I153" s="22"/>
      <c r="J153" s="22"/>
      <c r="K153" s="22"/>
      <c r="L153" s="23"/>
      <c r="M153" s="71"/>
      <c r="N153" s="71"/>
      <c r="O153" s="22"/>
      <c r="P153" s="22"/>
      <c r="Q153" s="22"/>
      <c r="R153" s="71"/>
      <c r="AC153" s="22"/>
      <c r="AD153" s="22"/>
      <c r="AE153" s="22"/>
      <c r="AF153" s="22"/>
      <c r="AG153" s="22"/>
      <c r="AH153" s="22"/>
      <c r="AI153" s="22"/>
      <c r="AJ153" s="22"/>
      <c r="AK153" s="22"/>
      <c r="AL153" s="22"/>
      <c r="AM153" s="22"/>
      <c r="AN153" s="22"/>
      <c r="AO153" s="22"/>
      <c r="AP153" s="22"/>
      <c r="AQ153" s="22"/>
      <c r="AR153" s="22"/>
      <c r="AS153" s="22"/>
    </row>
    <row r="154" spans="1:45" x14ac:dyDescent="0.3">
      <c r="A154" s="22"/>
      <c r="B154" s="71"/>
      <c r="C154" s="22"/>
      <c r="D154" s="23"/>
      <c r="E154" s="22"/>
      <c r="F154" s="22"/>
      <c r="G154" s="22"/>
      <c r="H154" s="23"/>
      <c r="I154" s="22"/>
      <c r="J154" s="22"/>
      <c r="K154" s="22"/>
      <c r="L154" s="23"/>
      <c r="M154" s="71"/>
      <c r="N154" s="71"/>
      <c r="O154" s="22"/>
      <c r="P154" s="22"/>
      <c r="Q154" s="22"/>
      <c r="R154" s="71"/>
      <c r="AC154" s="22"/>
      <c r="AD154" s="22"/>
      <c r="AE154" s="22"/>
      <c r="AF154" s="22"/>
      <c r="AG154" s="22"/>
      <c r="AH154" s="22"/>
      <c r="AI154" s="22"/>
      <c r="AJ154" s="22"/>
      <c r="AK154" s="22"/>
      <c r="AL154" s="22"/>
      <c r="AM154" s="22"/>
      <c r="AN154" s="22"/>
      <c r="AO154" s="22"/>
      <c r="AP154" s="22"/>
      <c r="AQ154" s="22"/>
      <c r="AR154" s="22"/>
      <c r="AS154" s="22"/>
    </row>
    <row r="155" spans="1:45" x14ac:dyDescent="0.3">
      <c r="A155" s="22"/>
      <c r="B155" s="71"/>
      <c r="C155" s="22"/>
      <c r="D155" s="23"/>
      <c r="E155" s="22"/>
      <c r="F155" s="22"/>
      <c r="G155" s="22"/>
      <c r="H155" s="23"/>
      <c r="I155" s="22"/>
      <c r="J155" s="22"/>
      <c r="K155" s="22"/>
      <c r="L155" s="23"/>
      <c r="M155" s="71"/>
      <c r="N155" s="71"/>
      <c r="O155" s="22"/>
      <c r="P155" s="22"/>
      <c r="Q155" s="22"/>
      <c r="R155" s="71"/>
      <c r="AC155" s="22"/>
      <c r="AD155" s="22"/>
      <c r="AE155" s="22"/>
      <c r="AF155" s="22"/>
      <c r="AG155" s="22"/>
      <c r="AH155" s="22"/>
      <c r="AI155" s="22"/>
      <c r="AJ155" s="22"/>
      <c r="AK155" s="22"/>
      <c r="AL155" s="22"/>
      <c r="AM155" s="22"/>
      <c r="AN155" s="22"/>
      <c r="AO155" s="22"/>
      <c r="AP155" s="22"/>
      <c r="AQ155" s="22"/>
      <c r="AR155" s="22"/>
      <c r="AS155" s="22"/>
    </row>
    <row r="156" spans="1:45" x14ac:dyDescent="0.3">
      <c r="A156" s="22"/>
      <c r="B156" s="71"/>
      <c r="C156" s="22"/>
      <c r="D156" s="23"/>
      <c r="E156" s="22"/>
      <c r="F156" s="22"/>
      <c r="G156" s="22"/>
      <c r="H156" s="23"/>
      <c r="I156" s="22"/>
      <c r="J156" s="22"/>
      <c r="K156" s="22"/>
      <c r="L156" s="23"/>
      <c r="M156" s="71"/>
      <c r="N156" s="71"/>
      <c r="O156" s="22"/>
      <c r="P156" s="22"/>
      <c r="Q156" s="22"/>
      <c r="R156" s="71"/>
      <c r="AC156" s="22"/>
      <c r="AD156" s="22"/>
      <c r="AE156" s="22"/>
      <c r="AF156" s="22"/>
      <c r="AG156" s="22"/>
      <c r="AH156" s="22"/>
      <c r="AI156" s="22"/>
      <c r="AJ156" s="22"/>
      <c r="AK156" s="22"/>
      <c r="AL156" s="22"/>
      <c r="AM156" s="22"/>
      <c r="AN156" s="22"/>
      <c r="AO156" s="22"/>
      <c r="AP156" s="22"/>
      <c r="AQ156" s="22"/>
      <c r="AR156" s="22"/>
      <c r="AS156" s="22"/>
    </row>
    <row r="157" spans="1:45" x14ac:dyDescent="0.3">
      <c r="A157" s="22"/>
      <c r="B157" s="71"/>
      <c r="C157" s="22"/>
      <c r="D157" s="23"/>
      <c r="E157" s="22"/>
      <c r="F157" s="22"/>
      <c r="G157" s="22"/>
      <c r="H157" s="23"/>
      <c r="I157" s="22"/>
      <c r="J157" s="22"/>
      <c r="K157" s="22"/>
      <c r="L157" s="23"/>
      <c r="M157" s="71"/>
      <c r="N157" s="71"/>
      <c r="O157" s="22"/>
      <c r="P157" s="22"/>
      <c r="Q157" s="22"/>
      <c r="R157" s="71"/>
      <c r="AC157" s="22"/>
      <c r="AD157" s="22"/>
      <c r="AE157" s="22"/>
      <c r="AF157" s="22"/>
      <c r="AG157" s="22"/>
      <c r="AH157" s="22"/>
      <c r="AI157" s="22"/>
      <c r="AJ157" s="22"/>
      <c r="AK157" s="22"/>
      <c r="AL157" s="22"/>
      <c r="AM157" s="22"/>
      <c r="AN157" s="22"/>
      <c r="AO157" s="22"/>
      <c r="AP157" s="22"/>
      <c r="AQ157" s="22"/>
      <c r="AR157" s="22"/>
      <c r="AS157" s="22"/>
    </row>
    <row r="158" spans="1:45" x14ac:dyDescent="0.3">
      <c r="A158" s="22"/>
      <c r="B158" s="71"/>
      <c r="C158" s="22"/>
      <c r="D158" s="23"/>
      <c r="E158" s="22"/>
      <c r="F158" s="22"/>
      <c r="G158" s="22"/>
      <c r="H158" s="23"/>
      <c r="I158" s="22"/>
      <c r="J158" s="22"/>
      <c r="K158" s="22"/>
      <c r="L158" s="23"/>
      <c r="M158" s="71"/>
      <c r="N158" s="71"/>
      <c r="O158" s="22"/>
      <c r="P158" s="22"/>
      <c r="Q158" s="22"/>
      <c r="R158" s="71"/>
      <c r="AC158" s="22"/>
      <c r="AD158" s="22"/>
      <c r="AE158" s="22"/>
      <c r="AF158" s="22"/>
      <c r="AG158" s="22"/>
      <c r="AH158" s="22"/>
      <c r="AI158" s="22"/>
      <c r="AJ158" s="22"/>
      <c r="AK158" s="22"/>
      <c r="AL158" s="22"/>
      <c r="AM158" s="22"/>
      <c r="AN158" s="22"/>
      <c r="AO158" s="22"/>
      <c r="AP158" s="22"/>
      <c r="AQ158" s="22"/>
      <c r="AR158" s="22"/>
      <c r="AS158" s="22"/>
    </row>
    <row r="159" spans="1:45" x14ac:dyDescent="0.3">
      <c r="A159" s="22"/>
      <c r="B159" s="71"/>
      <c r="C159" s="22"/>
      <c r="D159" s="23"/>
      <c r="E159" s="22"/>
      <c r="F159" s="22"/>
      <c r="G159" s="22"/>
      <c r="H159" s="23"/>
      <c r="I159" s="22"/>
      <c r="J159" s="22"/>
      <c r="K159" s="22"/>
      <c r="L159" s="23"/>
      <c r="M159" s="71"/>
      <c r="N159" s="71"/>
      <c r="O159" s="22"/>
      <c r="P159" s="22"/>
      <c r="Q159" s="22"/>
      <c r="R159" s="71"/>
      <c r="AC159" s="22"/>
      <c r="AD159" s="22"/>
      <c r="AE159" s="22"/>
      <c r="AF159" s="22"/>
      <c r="AG159" s="22"/>
      <c r="AH159" s="22"/>
      <c r="AI159" s="22"/>
      <c r="AJ159" s="22"/>
      <c r="AK159" s="22"/>
      <c r="AL159" s="22"/>
      <c r="AM159" s="22"/>
      <c r="AN159" s="22"/>
      <c r="AO159" s="22"/>
      <c r="AP159" s="22"/>
      <c r="AQ159" s="22"/>
      <c r="AR159" s="22"/>
      <c r="AS159" s="22"/>
    </row>
    <row r="160" spans="1:45" x14ac:dyDescent="0.3">
      <c r="A160" s="22"/>
      <c r="B160" s="71"/>
      <c r="C160" s="22"/>
      <c r="D160" s="23"/>
      <c r="E160" s="22"/>
      <c r="F160" s="22"/>
      <c r="G160" s="22"/>
      <c r="H160" s="23"/>
      <c r="I160" s="22"/>
      <c r="J160" s="22"/>
      <c r="K160" s="22"/>
      <c r="L160" s="23"/>
      <c r="M160" s="71"/>
      <c r="N160" s="71"/>
      <c r="O160" s="22"/>
      <c r="P160" s="22"/>
      <c r="Q160" s="22"/>
      <c r="R160" s="71"/>
      <c r="AC160" s="22"/>
      <c r="AD160" s="22"/>
      <c r="AE160" s="22"/>
      <c r="AF160" s="22"/>
      <c r="AG160" s="22"/>
      <c r="AH160" s="22"/>
      <c r="AI160" s="22"/>
      <c r="AJ160" s="22"/>
      <c r="AK160" s="22"/>
      <c r="AL160" s="22"/>
      <c r="AM160" s="22"/>
      <c r="AN160" s="22"/>
      <c r="AO160" s="22"/>
      <c r="AP160" s="22"/>
      <c r="AQ160" s="22"/>
      <c r="AR160" s="22"/>
      <c r="AS160" s="22"/>
    </row>
    <row r="161" spans="1:45" x14ac:dyDescent="0.3">
      <c r="A161" s="22"/>
      <c r="B161" s="71"/>
      <c r="C161" s="22"/>
      <c r="D161" s="23"/>
      <c r="E161" s="22"/>
      <c r="F161" s="22"/>
      <c r="G161" s="22"/>
      <c r="H161" s="23"/>
      <c r="I161" s="22"/>
      <c r="J161" s="22"/>
      <c r="K161" s="22"/>
      <c r="L161" s="23"/>
      <c r="M161" s="71"/>
      <c r="N161" s="71"/>
      <c r="O161" s="22"/>
      <c r="P161" s="22"/>
      <c r="Q161" s="22"/>
      <c r="R161" s="71"/>
      <c r="AC161" s="22"/>
      <c r="AD161" s="22"/>
      <c r="AE161" s="22"/>
      <c r="AF161" s="22"/>
      <c r="AG161" s="22"/>
      <c r="AH161" s="22"/>
      <c r="AI161" s="22"/>
      <c r="AJ161" s="22"/>
      <c r="AK161" s="22"/>
      <c r="AL161" s="22"/>
      <c r="AM161" s="22"/>
      <c r="AN161" s="22"/>
      <c r="AO161" s="22"/>
      <c r="AP161" s="22"/>
      <c r="AQ161" s="22"/>
      <c r="AR161" s="22"/>
      <c r="AS161" s="22"/>
    </row>
    <row r="162" spans="1:45" x14ac:dyDescent="0.3">
      <c r="A162" s="22"/>
      <c r="B162" s="71"/>
      <c r="C162" s="22"/>
      <c r="D162" s="23"/>
      <c r="E162" s="22"/>
      <c r="F162" s="22"/>
      <c r="G162" s="22"/>
      <c r="H162" s="23"/>
      <c r="I162" s="22"/>
      <c r="J162" s="22"/>
      <c r="K162" s="22"/>
      <c r="L162" s="23"/>
      <c r="M162" s="71"/>
      <c r="N162" s="71"/>
      <c r="O162" s="22"/>
      <c r="P162" s="22"/>
      <c r="Q162" s="22"/>
      <c r="R162" s="71"/>
      <c r="AC162" s="22"/>
      <c r="AD162" s="22"/>
      <c r="AE162" s="22"/>
      <c r="AF162" s="22"/>
      <c r="AG162" s="22"/>
      <c r="AH162" s="22"/>
      <c r="AI162" s="22"/>
      <c r="AJ162" s="22"/>
      <c r="AK162" s="22"/>
      <c r="AL162" s="22"/>
      <c r="AM162" s="22"/>
      <c r="AN162" s="22"/>
      <c r="AO162" s="22"/>
      <c r="AP162" s="22"/>
      <c r="AQ162" s="22"/>
      <c r="AR162" s="22"/>
      <c r="AS162" s="22"/>
    </row>
    <row r="163" spans="1:45" x14ac:dyDescent="0.3">
      <c r="A163" s="22"/>
      <c r="B163" s="71"/>
      <c r="C163" s="22"/>
      <c r="D163" s="23"/>
      <c r="E163" s="22"/>
      <c r="F163" s="22"/>
      <c r="G163" s="22"/>
      <c r="H163" s="23"/>
      <c r="I163" s="22"/>
      <c r="J163" s="22"/>
      <c r="K163" s="22"/>
      <c r="L163" s="23"/>
      <c r="M163" s="71"/>
      <c r="N163" s="71"/>
      <c r="O163" s="22"/>
      <c r="P163" s="22"/>
      <c r="Q163" s="22"/>
      <c r="R163" s="71"/>
      <c r="AC163" s="22"/>
      <c r="AD163" s="22"/>
      <c r="AE163" s="22"/>
      <c r="AF163" s="22"/>
      <c r="AG163" s="22"/>
      <c r="AH163" s="22"/>
      <c r="AI163" s="22"/>
      <c r="AJ163" s="22"/>
      <c r="AK163" s="22"/>
      <c r="AL163" s="22"/>
      <c r="AM163" s="22"/>
      <c r="AN163" s="22"/>
      <c r="AO163" s="22"/>
      <c r="AP163" s="22"/>
      <c r="AQ163" s="22"/>
      <c r="AR163" s="22"/>
      <c r="AS163" s="22"/>
    </row>
    <row r="164" spans="1:45" x14ac:dyDescent="0.3">
      <c r="A164" s="22"/>
      <c r="B164" s="71"/>
      <c r="C164" s="22"/>
      <c r="D164" s="23"/>
      <c r="E164" s="22"/>
      <c r="F164" s="22"/>
      <c r="G164" s="22"/>
      <c r="H164" s="23"/>
      <c r="I164" s="22"/>
      <c r="J164" s="22"/>
      <c r="K164" s="22"/>
      <c r="L164" s="23"/>
      <c r="M164" s="71"/>
      <c r="N164" s="71"/>
      <c r="O164" s="22"/>
      <c r="P164" s="22"/>
      <c r="Q164" s="22"/>
      <c r="R164" s="71"/>
      <c r="AC164" s="22"/>
      <c r="AD164" s="22"/>
      <c r="AE164" s="22"/>
      <c r="AF164" s="22"/>
      <c r="AG164" s="22"/>
      <c r="AH164" s="22"/>
      <c r="AI164" s="22"/>
      <c r="AJ164" s="22"/>
      <c r="AK164" s="22"/>
      <c r="AL164" s="22"/>
      <c r="AM164" s="22"/>
      <c r="AN164" s="22"/>
      <c r="AO164" s="22"/>
      <c r="AP164" s="22"/>
      <c r="AQ164" s="22"/>
      <c r="AR164" s="22"/>
      <c r="AS164" s="22"/>
    </row>
    <row r="165" spans="1:45" x14ac:dyDescent="0.3">
      <c r="A165" s="22"/>
      <c r="B165" s="71"/>
      <c r="C165" s="22"/>
      <c r="D165" s="23"/>
      <c r="E165" s="22"/>
      <c r="F165" s="22"/>
      <c r="G165" s="22"/>
      <c r="H165" s="23"/>
      <c r="I165" s="22"/>
      <c r="J165" s="22"/>
      <c r="K165" s="22"/>
      <c r="L165" s="23"/>
      <c r="M165" s="71"/>
      <c r="N165" s="71"/>
      <c r="O165" s="22"/>
      <c r="P165" s="22"/>
      <c r="Q165" s="22"/>
      <c r="R165" s="71"/>
      <c r="AC165" s="22"/>
      <c r="AD165" s="22"/>
      <c r="AE165" s="22"/>
      <c r="AF165" s="22"/>
      <c r="AG165" s="22"/>
      <c r="AH165" s="22"/>
      <c r="AI165" s="22"/>
      <c r="AJ165" s="22"/>
      <c r="AK165" s="22"/>
      <c r="AL165" s="22"/>
      <c r="AM165" s="22"/>
      <c r="AN165" s="22"/>
      <c r="AO165" s="22"/>
      <c r="AP165" s="22"/>
      <c r="AQ165" s="22"/>
      <c r="AR165" s="22"/>
      <c r="AS165" s="22"/>
    </row>
    <row r="166" spans="1:45" x14ac:dyDescent="0.3">
      <c r="A166" s="22"/>
      <c r="B166" s="71"/>
      <c r="C166" s="22"/>
      <c r="D166" s="23"/>
      <c r="E166" s="22"/>
      <c r="F166" s="22"/>
      <c r="G166" s="22"/>
      <c r="H166" s="23"/>
      <c r="I166" s="22"/>
      <c r="J166" s="22"/>
      <c r="K166" s="22"/>
      <c r="L166" s="23"/>
      <c r="M166" s="71"/>
      <c r="N166" s="71"/>
      <c r="O166" s="22"/>
      <c r="P166" s="22"/>
      <c r="Q166" s="22"/>
      <c r="R166" s="71"/>
      <c r="AC166" s="22"/>
      <c r="AD166" s="22"/>
      <c r="AE166" s="22"/>
      <c r="AF166" s="22"/>
      <c r="AG166" s="22"/>
      <c r="AH166" s="22"/>
      <c r="AI166" s="22"/>
      <c r="AJ166" s="22"/>
      <c r="AK166" s="22"/>
      <c r="AL166" s="22"/>
      <c r="AM166" s="22"/>
      <c r="AN166" s="22"/>
      <c r="AO166" s="22"/>
      <c r="AP166" s="22"/>
      <c r="AQ166" s="22"/>
      <c r="AR166" s="22"/>
      <c r="AS166" s="22"/>
    </row>
    <row r="167" spans="1:45" x14ac:dyDescent="0.3">
      <c r="A167" s="22"/>
      <c r="B167" s="71"/>
      <c r="C167" s="22"/>
      <c r="D167" s="23"/>
      <c r="E167" s="22"/>
      <c r="F167" s="22"/>
      <c r="G167" s="22"/>
      <c r="H167" s="23"/>
      <c r="I167" s="22"/>
      <c r="J167" s="22"/>
      <c r="K167" s="22"/>
      <c r="L167" s="23"/>
      <c r="M167" s="71"/>
      <c r="N167" s="71"/>
      <c r="O167" s="22"/>
      <c r="P167" s="22"/>
      <c r="Q167" s="22"/>
      <c r="R167" s="71"/>
      <c r="AC167" s="22"/>
      <c r="AD167" s="22"/>
      <c r="AE167" s="22"/>
      <c r="AF167" s="22"/>
      <c r="AG167" s="22"/>
      <c r="AH167" s="22"/>
      <c r="AI167" s="22"/>
      <c r="AJ167" s="22"/>
      <c r="AK167" s="22"/>
      <c r="AL167" s="22"/>
      <c r="AM167" s="22"/>
      <c r="AN167" s="22"/>
      <c r="AO167" s="22"/>
      <c r="AP167" s="22"/>
      <c r="AQ167" s="22"/>
      <c r="AR167" s="22"/>
      <c r="AS167" s="22"/>
    </row>
    <row r="168" spans="1:45" x14ac:dyDescent="0.3">
      <c r="A168" s="22"/>
      <c r="B168" s="71"/>
      <c r="C168" s="22"/>
      <c r="D168" s="23"/>
      <c r="E168" s="22"/>
      <c r="F168" s="22"/>
      <c r="G168" s="22"/>
      <c r="H168" s="23"/>
      <c r="I168" s="22"/>
      <c r="J168" s="22"/>
      <c r="K168" s="22"/>
      <c r="L168" s="23"/>
      <c r="M168" s="71"/>
      <c r="N168" s="71"/>
      <c r="O168" s="22"/>
      <c r="P168" s="22"/>
      <c r="Q168" s="22"/>
      <c r="R168" s="71"/>
      <c r="AC168" s="22"/>
      <c r="AD168" s="22"/>
      <c r="AE168" s="22"/>
      <c r="AF168" s="22"/>
      <c r="AG168" s="22"/>
      <c r="AH168" s="22"/>
      <c r="AI168" s="22"/>
      <c r="AJ168" s="22"/>
      <c r="AK168" s="22"/>
      <c r="AL168" s="22"/>
      <c r="AM168" s="22"/>
      <c r="AN168" s="22"/>
      <c r="AO168" s="22"/>
      <c r="AP168" s="22"/>
      <c r="AQ168" s="22"/>
      <c r="AR168" s="22"/>
      <c r="AS168" s="22"/>
    </row>
    <row r="169" spans="1:45" x14ac:dyDescent="0.3">
      <c r="A169" s="22"/>
      <c r="B169" s="71"/>
      <c r="C169" s="22"/>
      <c r="D169" s="23"/>
      <c r="E169" s="22"/>
      <c r="F169" s="22"/>
      <c r="G169" s="22"/>
      <c r="H169" s="23"/>
      <c r="I169" s="22"/>
      <c r="J169" s="22"/>
      <c r="K169" s="22"/>
      <c r="L169" s="23"/>
      <c r="M169" s="71"/>
      <c r="N169" s="71"/>
      <c r="O169" s="22"/>
      <c r="P169" s="22"/>
      <c r="Q169" s="22"/>
      <c r="R169" s="71"/>
      <c r="AC169" s="22"/>
      <c r="AD169" s="22"/>
      <c r="AE169" s="22"/>
      <c r="AF169" s="22"/>
      <c r="AG169" s="22"/>
      <c r="AH169" s="22"/>
      <c r="AI169" s="22"/>
      <c r="AJ169" s="22"/>
      <c r="AK169" s="22"/>
      <c r="AL169" s="22"/>
      <c r="AM169" s="22"/>
      <c r="AN169" s="22"/>
      <c r="AO169" s="22"/>
      <c r="AP169" s="22"/>
      <c r="AQ169" s="22"/>
      <c r="AR169" s="22"/>
      <c r="AS169" s="22"/>
    </row>
    <row r="170" spans="1:45" x14ac:dyDescent="0.3">
      <c r="A170" s="22"/>
      <c r="B170" s="71"/>
      <c r="C170" s="22"/>
      <c r="D170" s="23"/>
      <c r="E170" s="22"/>
      <c r="F170" s="22"/>
      <c r="G170" s="22"/>
      <c r="H170" s="23"/>
      <c r="I170" s="22"/>
      <c r="J170" s="22"/>
      <c r="K170" s="22"/>
      <c r="L170" s="23"/>
      <c r="M170" s="71"/>
      <c r="N170" s="71"/>
      <c r="O170" s="22"/>
      <c r="P170" s="22"/>
      <c r="Q170" s="22"/>
      <c r="R170" s="71"/>
      <c r="AC170" s="22"/>
      <c r="AD170" s="22"/>
      <c r="AE170" s="22"/>
      <c r="AF170" s="22"/>
      <c r="AG170" s="22"/>
      <c r="AH170" s="22"/>
      <c r="AI170" s="22"/>
      <c r="AJ170" s="22"/>
      <c r="AK170" s="22"/>
      <c r="AL170" s="22"/>
      <c r="AM170" s="22"/>
      <c r="AN170" s="22"/>
      <c r="AO170" s="22"/>
      <c r="AP170" s="22"/>
      <c r="AQ170" s="22"/>
      <c r="AR170" s="22"/>
      <c r="AS170" s="22"/>
    </row>
    <row r="171" spans="1:45" x14ac:dyDescent="0.3">
      <c r="A171" s="22"/>
      <c r="B171" s="71"/>
      <c r="C171" s="22"/>
      <c r="D171" s="23"/>
      <c r="E171" s="22"/>
      <c r="F171" s="22"/>
      <c r="G171" s="22"/>
      <c r="H171" s="23"/>
      <c r="I171" s="22"/>
      <c r="J171" s="22"/>
      <c r="K171" s="22"/>
      <c r="L171" s="23"/>
      <c r="M171" s="71"/>
      <c r="N171" s="71"/>
      <c r="O171" s="22"/>
      <c r="P171" s="22"/>
      <c r="Q171" s="22"/>
      <c r="R171" s="71"/>
      <c r="AC171" s="22"/>
      <c r="AD171" s="22"/>
      <c r="AE171" s="22"/>
      <c r="AF171" s="22"/>
      <c r="AG171" s="22"/>
      <c r="AH171" s="22"/>
      <c r="AI171" s="22"/>
      <c r="AJ171" s="22"/>
      <c r="AK171" s="22"/>
      <c r="AL171" s="22"/>
      <c r="AM171" s="22"/>
      <c r="AN171" s="22"/>
      <c r="AO171" s="22"/>
      <c r="AP171" s="22"/>
      <c r="AQ171" s="22"/>
      <c r="AR171" s="22"/>
      <c r="AS171" s="22"/>
    </row>
    <row r="172" spans="1:45" x14ac:dyDescent="0.3">
      <c r="A172" s="22"/>
      <c r="B172" s="71"/>
      <c r="C172" s="22"/>
      <c r="D172" s="23"/>
      <c r="E172" s="22"/>
      <c r="F172" s="22"/>
      <c r="G172" s="22"/>
      <c r="H172" s="23"/>
      <c r="I172" s="22"/>
      <c r="J172" s="22"/>
      <c r="K172" s="22"/>
      <c r="L172" s="23"/>
      <c r="M172" s="71"/>
      <c r="N172" s="71"/>
      <c r="O172" s="22"/>
      <c r="P172" s="22"/>
      <c r="Q172" s="22"/>
      <c r="R172" s="71"/>
      <c r="AC172" s="22"/>
      <c r="AD172" s="22"/>
      <c r="AE172" s="22"/>
      <c r="AF172" s="22"/>
      <c r="AG172" s="22"/>
      <c r="AH172" s="22"/>
      <c r="AI172" s="22"/>
      <c r="AJ172" s="22"/>
      <c r="AK172" s="22"/>
      <c r="AL172" s="22"/>
      <c r="AM172" s="22"/>
      <c r="AN172" s="22"/>
      <c r="AO172" s="22"/>
      <c r="AP172" s="22"/>
      <c r="AQ172" s="22"/>
      <c r="AR172" s="22"/>
      <c r="AS172" s="22"/>
    </row>
    <row r="173" spans="1:45" x14ac:dyDescent="0.3">
      <c r="A173" s="22"/>
      <c r="B173" s="71"/>
      <c r="C173" s="22"/>
      <c r="D173" s="23"/>
      <c r="E173" s="22"/>
      <c r="F173" s="22"/>
      <c r="G173" s="22"/>
      <c r="H173" s="23"/>
      <c r="I173" s="22"/>
      <c r="J173" s="22"/>
      <c r="K173" s="22"/>
      <c r="L173" s="23"/>
      <c r="M173" s="71"/>
      <c r="N173" s="71"/>
      <c r="O173" s="22"/>
      <c r="P173" s="22"/>
      <c r="Q173" s="22"/>
      <c r="R173" s="71"/>
      <c r="AC173" s="22"/>
      <c r="AD173" s="22"/>
      <c r="AE173" s="22"/>
      <c r="AF173" s="22"/>
      <c r="AG173" s="22"/>
      <c r="AH173" s="22"/>
      <c r="AI173" s="22"/>
      <c r="AJ173" s="22"/>
      <c r="AK173" s="22"/>
      <c r="AL173" s="22"/>
      <c r="AM173" s="22"/>
      <c r="AN173" s="22"/>
      <c r="AO173" s="22"/>
      <c r="AP173" s="22"/>
      <c r="AQ173" s="22"/>
      <c r="AR173" s="22"/>
      <c r="AS173" s="22"/>
    </row>
    <row r="174" spans="1:45" x14ac:dyDescent="0.3">
      <c r="A174" s="22"/>
      <c r="B174" s="71"/>
      <c r="C174" s="22"/>
      <c r="D174" s="23"/>
      <c r="E174" s="22"/>
      <c r="F174" s="22"/>
      <c r="G174" s="22"/>
      <c r="H174" s="23"/>
      <c r="I174" s="22"/>
      <c r="J174" s="22"/>
      <c r="K174" s="22"/>
      <c r="L174" s="23"/>
      <c r="M174" s="71"/>
      <c r="N174" s="71"/>
      <c r="O174" s="22"/>
      <c r="P174" s="22"/>
      <c r="Q174" s="22"/>
      <c r="R174" s="71"/>
      <c r="AC174" s="22"/>
      <c r="AD174" s="22"/>
      <c r="AE174" s="22"/>
      <c r="AF174" s="22"/>
      <c r="AG174" s="22"/>
      <c r="AH174" s="22"/>
      <c r="AI174" s="22"/>
      <c r="AJ174" s="22"/>
      <c r="AK174" s="22"/>
      <c r="AL174" s="22"/>
      <c r="AM174" s="22"/>
      <c r="AN174" s="22"/>
      <c r="AO174" s="22"/>
      <c r="AP174" s="22"/>
      <c r="AQ174" s="22"/>
      <c r="AR174" s="22"/>
      <c r="AS174" s="22"/>
    </row>
    <row r="175" spans="1:45" x14ac:dyDescent="0.3">
      <c r="A175" s="22"/>
      <c r="B175" s="71"/>
      <c r="C175" s="22"/>
      <c r="D175" s="23"/>
      <c r="E175" s="22"/>
      <c r="F175" s="22"/>
      <c r="G175" s="22"/>
      <c r="H175" s="23"/>
      <c r="I175" s="22"/>
      <c r="J175" s="22"/>
      <c r="K175" s="22"/>
      <c r="L175" s="23"/>
      <c r="M175" s="71"/>
      <c r="N175" s="71"/>
      <c r="O175" s="22"/>
      <c r="P175" s="22"/>
      <c r="Q175" s="22"/>
      <c r="R175" s="71"/>
      <c r="AC175" s="22"/>
      <c r="AD175" s="22"/>
      <c r="AE175" s="22"/>
      <c r="AF175" s="22"/>
      <c r="AG175" s="22"/>
      <c r="AH175" s="22"/>
      <c r="AI175" s="22"/>
      <c r="AJ175" s="22"/>
      <c r="AK175" s="22"/>
      <c r="AL175" s="22"/>
      <c r="AM175" s="22"/>
      <c r="AN175" s="22"/>
      <c r="AO175" s="22"/>
      <c r="AP175" s="22"/>
      <c r="AQ175" s="22"/>
      <c r="AR175" s="22"/>
      <c r="AS175" s="22"/>
    </row>
    <row r="176" spans="1:45" x14ac:dyDescent="0.3">
      <c r="A176" s="22"/>
      <c r="B176" s="71"/>
      <c r="C176" s="22"/>
      <c r="D176" s="23"/>
      <c r="E176" s="22"/>
      <c r="F176" s="22"/>
      <c r="G176" s="22"/>
      <c r="H176" s="23"/>
      <c r="I176" s="22"/>
      <c r="J176" s="22"/>
      <c r="K176" s="22"/>
      <c r="L176" s="23"/>
      <c r="M176" s="71"/>
      <c r="N176" s="71"/>
      <c r="O176" s="22"/>
      <c r="P176" s="22"/>
      <c r="Q176" s="22"/>
      <c r="R176" s="71"/>
      <c r="AC176" s="22"/>
      <c r="AD176" s="22"/>
      <c r="AE176" s="22"/>
      <c r="AF176" s="22"/>
      <c r="AG176" s="22"/>
      <c r="AH176" s="22"/>
      <c r="AI176" s="22"/>
      <c r="AJ176" s="22"/>
      <c r="AK176" s="22"/>
      <c r="AL176" s="22"/>
      <c r="AM176" s="22"/>
      <c r="AN176" s="22"/>
      <c r="AO176" s="22"/>
      <c r="AP176" s="22"/>
      <c r="AQ176" s="22"/>
      <c r="AR176" s="22"/>
      <c r="AS176" s="22"/>
    </row>
    <row r="177" spans="1:45" x14ac:dyDescent="0.3">
      <c r="A177" s="22"/>
      <c r="B177" s="71"/>
      <c r="C177" s="22"/>
      <c r="D177" s="23"/>
      <c r="E177" s="22"/>
      <c r="F177" s="22"/>
      <c r="G177" s="22"/>
      <c r="H177" s="23"/>
      <c r="I177" s="22"/>
      <c r="J177" s="22"/>
      <c r="K177" s="22"/>
      <c r="L177" s="23"/>
      <c r="M177" s="71"/>
      <c r="N177" s="71"/>
      <c r="O177" s="22"/>
      <c r="P177" s="22"/>
      <c r="Q177" s="22"/>
      <c r="R177" s="71"/>
      <c r="AC177" s="22"/>
      <c r="AD177" s="22"/>
      <c r="AE177" s="22"/>
      <c r="AF177" s="22"/>
      <c r="AG177" s="22"/>
      <c r="AH177" s="22"/>
      <c r="AI177" s="22"/>
      <c r="AJ177" s="22"/>
      <c r="AK177" s="22"/>
      <c r="AL177" s="22"/>
      <c r="AM177" s="22"/>
      <c r="AN177" s="22"/>
      <c r="AO177" s="22"/>
      <c r="AP177" s="22"/>
      <c r="AQ177" s="22"/>
      <c r="AR177" s="22"/>
      <c r="AS177" s="22"/>
    </row>
    <row r="178" spans="1:45" x14ac:dyDescent="0.3">
      <c r="A178" s="22"/>
      <c r="B178" s="71"/>
      <c r="C178" s="22"/>
      <c r="D178" s="23"/>
      <c r="E178" s="22"/>
      <c r="F178" s="22"/>
      <c r="G178" s="22"/>
      <c r="H178" s="23"/>
      <c r="I178" s="22"/>
      <c r="J178" s="22"/>
      <c r="K178" s="22"/>
      <c r="L178" s="23"/>
      <c r="M178" s="71"/>
      <c r="N178" s="71"/>
      <c r="O178" s="22"/>
      <c r="P178" s="22"/>
      <c r="Q178" s="22"/>
      <c r="R178" s="71"/>
      <c r="AC178" s="22"/>
      <c r="AD178" s="22"/>
      <c r="AE178" s="22"/>
      <c r="AF178" s="22"/>
      <c r="AG178" s="22"/>
      <c r="AH178" s="22"/>
      <c r="AI178" s="22"/>
      <c r="AJ178" s="22"/>
      <c r="AK178" s="22"/>
      <c r="AL178" s="22"/>
      <c r="AM178" s="22"/>
      <c r="AN178" s="22"/>
      <c r="AO178" s="22"/>
      <c r="AP178" s="22"/>
      <c r="AQ178" s="22"/>
      <c r="AR178" s="22"/>
      <c r="AS178" s="22"/>
    </row>
    <row r="179" spans="1:45" x14ac:dyDescent="0.3">
      <c r="A179" s="22"/>
      <c r="B179" s="71"/>
      <c r="C179" s="22"/>
      <c r="D179" s="23"/>
      <c r="E179" s="22"/>
      <c r="F179" s="22"/>
      <c r="G179" s="22"/>
      <c r="H179" s="23"/>
      <c r="I179" s="22"/>
      <c r="J179" s="22"/>
      <c r="K179" s="22"/>
      <c r="L179" s="23"/>
      <c r="M179" s="71"/>
      <c r="N179" s="71"/>
      <c r="O179" s="22"/>
      <c r="P179" s="22"/>
      <c r="Q179" s="22"/>
      <c r="R179" s="71"/>
      <c r="AC179" s="22"/>
      <c r="AD179" s="22"/>
      <c r="AE179" s="22"/>
      <c r="AF179" s="22"/>
      <c r="AG179" s="22"/>
      <c r="AH179" s="22"/>
      <c r="AI179" s="22"/>
      <c r="AJ179" s="22"/>
      <c r="AK179" s="22"/>
      <c r="AL179" s="22"/>
      <c r="AM179" s="22"/>
      <c r="AN179" s="22"/>
      <c r="AO179" s="22"/>
      <c r="AP179" s="22"/>
      <c r="AQ179" s="22"/>
      <c r="AR179" s="22"/>
      <c r="AS179" s="22"/>
    </row>
    <row r="180" spans="1:45" x14ac:dyDescent="0.3">
      <c r="A180" s="22"/>
      <c r="B180" s="71"/>
      <c r="C180" s="22"/>
      <c r="D180" s="23"/>
      <c r="E180" s="22"/>
      <c r="F180" s="22"/>
      <c r="G180" s="22"/>
      <c r="H180" s="23"/>
      <c r="I180" s="22"/>
      <c r="J180" s="22"/>
      <c r="K180" s="22"/>
      <c r="L180" s="23"/>
      <c r="M180" s="71"/>
      <c r="N180" s="71"/>
      <c r="O180" s="22"/>
      <c r="P180" s="22"/>
      <c r="Q180" s="22"/>
      <c r="R180" s="71"/>
      <c r="AC180" s="22"/>
      <c r="AD180" s="22"/>
      <c r="AE180" s="22"/>
      <c r="AF180" s="22"/>
      <c r="AG180" s="22"/>
      <c r="AH180" s="22"/>
      <c r="AI180" s="22"/>
      <c r="AJ180" s="22"/>
      <c r="AK180" s="22"/>
      <c r="AL180" s="22"/>
      <c r="AM180" s="22"/>
      <c r="AN180" s="22"/>
      <c r="AO180" s="22"/>
      <c r="AP180" s="22"/>
      <c r="AQ180" s="22"/>
      <c r="AR180" s="22"/>
      <c r="AS180" s="22"/>
    </row>
    <row r="181" spans="1:45" x14ac:dyDescent="0.3">
      <c r="A181" s="22"/>
      <c r="B181" s="71"/>
      <c r="C181" s="22"/>
      <c r="D181" s="23"/>
      <c r="E181" s="22"/>
      <c r="F181" s="22"/>
      <c r="G181" s="22"/>
      <c r="H181" s="23"/>
      <c r="I181" s="22"/>
      <c r="J181" s="22"/>
      <c r="K181" s="22"/>
      <c r="L181" s="23"/>
      <c r="M181" s="71"/>
      <c r="N181" s="71"/>
      <c r="O181" s="22"/>
      <c r="P181" s="22"/>
      <c r="Q181" s="22"/>
      <c r="R181" s="71"/>
      <c r="AC181" s="22"/>
      <c r="AD181" s="22"/>
      <c r="AE181" s="22"/>
      <c r="AF181" s="22"/>
      <c r="AG181" s="22"/>
      <c r="AH181" s="22"/>
      <c r="AI181" s="22"/>
      <c r="AJ181" s="22"/>
      <c r="AK181" s="22"/>
      <c r="AL181" s="22"/>
      <c r="AM181" s="22"/>
      <c r="AN181" s="22"/>
      <c r="AO181" s="22"/>
      <c r="AP181" s="22"/>
      <c r="AQ181" s="22"/>
      <c r="AR181" s="22"/>
      <c r="AS181" s="22"/>
    </row>
    <row r="182" spans="1:45" x14ac:dyDescent="0.3">
      <c r="A182" s="22"/>
      <c r="B182" s="71"/>
      <c r="C182" s="22"/>
      <c r="D182" s="23"/>
      <c r="E182" s="22"/>
      <c r="F182" s="22"/>
      <c r="G182" s="22"/>
      <c r="H182" s="23"/>
      <c r="I182" s="22"/>
      <c r="J182" s="22"/>
      <c r="K182" s="22"/>
      <c r="L182" s="23"/>
      <c r="M182" s="71"/>
      <c r="N182" s="71"/>
      <c r="O182" s="22"/>
      <c r="P182" s="22"/>
      <c r="Q182" s="22"/>
      <c r="R182" s="71"/>
      <c r="AC182" s="22"/>
      <c r="AD182" s="22"/>
      <c r="AE182" s="22"/>
      <c r="AF182" s="22"/>
      <c r="AG182" s="22"/>
      <c r="AH182" s="22"/>
      <c r="AI182" s="22"/>
      <c r="AJ182" s="22"/>
      <c r="AK182" s="22"/>
      <c r="AL182" s="22"/>
      <c r="AM182" s="22"/>
      <c r="AN182" s="22"/>
      <c r="AO182" s="22"/>
      <c r="AP182" s="22"/>
      <c r="AQ182" s="22"/>
      <c r="AR182" s="22"/>
      <c r="AS182" s="22"/>
    </row>
    <row r="183" spans="1:45" x14ac:dyDescent="0.3">
      <c r="A183" s="22"/>
      <c r="B183" s="71"/>
      <c r="C183" s="22"/>
      <c r="D183" s="23"/>
      <c r="E183" s="22"/>
      <c r="F183" s="22"/>
      <c r="G183" s="22"/>
      <c r="H183" s="23"/>
      <c r="I183" s="22"/>
      <c r="J183" s="22"/>
      <c r="K183" s="22"/>
      <c r="L183" s="23"/>
      <c r="M183" s="71"/>
      <c r="N183" s="71"/>
      <c r="O183" s="22"/>
      <c r="P183" s="22"/>
      <c r="Q183" s="22"/>
      <c r="R183" s="71"/>
      <c r="AC183" s="22"/>
      <c r="AD183" s="22"/>
      <c r="AE183" s="22"/>
      <c r="AF183" s="22"/>
      <c r="AG183" s="22"/>
      <c r="AH183" s="22"/>
      <c r="AI183" s="22"/>
      <c r="AJ183" s="22"/>
      <c r="AK183" s="22"/>
      <c r="AL183" s="22"/>
      <c r="AM183" s="22"/>
      <c r="AN183" s="22"/>
      <c r="AO183" s="22"/>
      <c r="AP183" s="22"/>
      <c r="AQ183" s="22"/>
      <c r="AR183" s="22"/>
      <c r="AS183" s="22"/>
    </row>
    <row r="184" spans="1:45" x14ac:dyDescent="0.3">
      <c r="A184" s="22"/>
      <c r="B184" s="71"/>
      <c r="C184" s="22"/>
      <c r="D184" s="23"/>
      <c r="E184" s="22"/>
      <c r="F184" s="22"/>
      <c r="G184" s="22"/>
      <c r="H184" s="23"/>
      <c r="I184" s="22"/>
      <c r="J184" s="22"/>
      <c r="K184" s="22"/>
      <c r="L184" s="23"/>
      <c r="M184" s="71"/>
      <c r="N184" s="71"/>
      <c r="O184" s="22"/>
      <c r="P184" s="22"/>
      <c r="Q184" s="22"/>
      <c r="R184" s="71"/>
      <c r="AC184" s="22"/>
      <c r="AD184" s="22"/>
      <c r="AE184" s="22"/>
      <c r="AF184" s="22"/>
      <c r="AG184" s="22"/>
      <c r="AH184" s="22"/>
      <c r="AI184" s="22"/>
      <c r="AJ184" s="22"/>
      <c r="AK184" s="22"/>
      <c r="AL184" s="22"/>
      <c r="AM184" s="22"/>
      <c r="AN184" s="22"/>
      <c r="AO184" s="22"/>
      <c r="AP184" s="22"/>
      <c r="AQ184" s="22"/>
      <c r="AR184" s="22"/>
      <c r="AS184" s="22"/>
    </row>
    <row r="185" spans="1:45" x14ac:dyDescent="0.3">
      <c r="A185" s="22"/>
      <c r="B185" s="71"/>
      <c r="C185" s="22"/>
      <c r="D185" s="23"/>
      <c r="E185" s="22"/>
      <c r="F185" s="22"/>
      <c r="G185" s="22"/>
      <c r="H185" s="23"/>
      <c r="I185" s="22"/>
      <c r="J185" s="22"/>
      <c r="K185" s="22"/>
      <c r="L185" s="23"/>
      <c r="M185" s="71"/>
      <c r="N185" s="71"/>
      <c r="O185" s="22"/>
      <c r="P185" s="22"/>
      <c r="Q185" s="22"/>
      <c r="R185" s="71"/>
      <c r="AC185" s="22"/>
      <c r="AD185" s="22"/>
      <c r="AE185" s="22"/>
      <c r="AF185" s="22"/>
      <c r="AG185" s="22"/>
      <c r="AH185" s="22"/>
      <c r="AI185" s="22"/>
      <c r="AJ185" s="22"/>
      <c r="AK185" s="22"/>
      <c r="AL185" s="22"/>
      <c r="AM185" s="22"/>
      <c r="AN185" s="22"/>
      <c r="AO185" s="22"/>
      <c r="AP185" s="22"/>
      <c r="AQ185" s="22"/>
      <c r="AR185" s="22"/>
      <c r="AS185" s="22"/>
    </row>
    <row r="186" spans="1:45" x14ac:dyDescent="0.3">
      <c r="A186" s="22"/>
      <c r="B186" s="71"/>
      <c r="C186" s="22"/>
      <c r="D186" s="23"/>
      <c r="E186" s="22"/>
      <c r="F186" s="22"/>
      <c r="G186" s="22"/>
      <c r="H186" s="23"/>
      <c r="I186" s="22"/>
      <c r="J186" s="22"/>
      <c r="K186" s="22"/>
      <c r="L186" s="23"/>
      <c r="M186" s="71"/>
      <c r="N186" s="71"/>
      <c r="O186" s="22"/>
      <c r="P186" s="22"/>
      <c r="Q186" s="22"/>
      <c r="R186" s="71"/>
      <c r="AC186" s="22"/>
      <c r="AD186" s="22"/>
      <c r="AE186" s="22"/>
      <c r="AF186" s="22"/>
      <c r="AG186" s="22"/>
      <c r="AH186" s="22"/>
      <c r="AI186" s="22"/>
      <c r="AJ186" s="22"/>
      <c r="AK186" s="22"/>
      <c r="AL186" s="22"/>
      <c r="AM186" s="22"/>
      <c r="AN186" s="22"/>
      <c r="AO186" s="22"/>
      <c r="AP186" s="22"/>
      <c r="AQ186" s="22"/>
      <c r="AR186" s="22"/>
      <c r="AS186" s="22"/>
    </row>
    <row r="187" spans="1:45" x14ac:dyDescent="0.3">
      <c r="A187" s="22"/>
      <c r="B187" s="71"/>
      <c r="C187" s="22"/>
      <c r="D187" s="23"/>
      <c r="E187" s="22"/>
      <c r="F187" s="22"/>
      <c r="G187" s="22"/>
      <c r="H187" s="23"/>
      <c r="I187" s="22"/>
      <c r="J187" s="22"/>
      <c r="K187" s="22"/>
      <c r="L187" s="23"/>
      <c r="M187" s="71"/>
      <c r="N187" s="71"/>
      <c r="O187" s="22"/>
      <c r="P187" s="22"/>
      <c r="Q187" s="22"/>
      <c r="R187" s="71"/>
      <c r="AC187" s="22"/>
      <c r="AD187" s="22"/>
      <c r="AE187" s="22"/>
      <c r="AF187" s="22"/>
      <c r="AG187" s="22"/>
      <c r="AH187" s="22"/>
      <c r="AI187" s="22"/>
      <c r="AJ187" s="22"/>
      <c r="AK187" s="22"/>
      <c r="AL187" s="22"/>
      <c r="AM187" s="22"/>
      <c r="AN187" s="22"/>
      <c r="AO187" s="22"/>
      <c r="AP187" s="22"/>
      <c r="AQ187" s="22"/>
      <c r="AR187" s="22"/>
      <c r="AS187" s="22"/>
    </row>
    <row r="188" spans="1:45" x14ac:dyDescent="0.3">
      <c r="A188" s="22"/>
      <c r="B188" s="71"/>
      <c r="C188" s="22"/>
      <c r="D188" s="23"/>
      <c r="E188" s="22"/>
      <c r="F188" s="22"/>
      <c r="G188" s="22"/>
      <c r="H188" s="23"/>
      <c r="I188" s="22"/>
      <c r="J188" s="22"/>
      <c r="K188" s="22"/>
      <c r="L188" s="23"/>
      <c r="M188" s="71"/>
      <c r="N188" s="71"/>
      <c r="O188" s="22"/>
      <c r="P188" s="22"/>
      <c r="Q188" s="22"/>
      <c r="R188" s="71"/>
      <c r="AC188" s="22"/>
      <c r="AD188" s="22"/>
      <c r="AE188" s="22"/>
      <c r="AF188" s="22"/>
      <c r="AG188" s="22"/>
      <c r="AH188" s="22"/>
      <c r="AI188" s="22"/>
      <c r="AJ188" s="22"/>
      <c r="AK188" s="22"/>
      <c r="AL188" s="22"/>
      <c r="AM188" s="22"/>
      <c r="AN188" s="22"/>
      <c r="AO188" s="22"/>
      <c r="AP188" s="22"/>
      <c r="AQ188" s="22"/>
      <c r="AR188" s="22"/>
      <c r="AS188" s="22"/>
    </row>
    <row r="189" spans="1:45" x14ac:dyDescent="0.3">
      <c r="A189" s="22"/>
      <c r="B189" s="71"/>
      <c r="C189" s="22"/>
      <c r="D189" s="23"/>
      <c r="E189" s="22"/>
      <c r="F189" s="22"/>
      <c r="G189" s="22"/>
      <c r="H189" s="23"/>
      <c r="I189" s="22"/>
      <c r="J189" s="22"/>
      <c r="K189" s="22"/>
      <c r="L189" s="23"/>
      <c r="M189" s="71"/>
      <c r="N189" s="71"/>
      <c r="O189" s="22"/>
      <c r="P189" s="22"/>
      <c r="Q189" s="22"/>
      <c r="R189" s="71"/>
      <c r="AC189" s="22"/>
      <c r="AD189" s="22"/>
      <c r="AE189" s="22"/>
      <c r="AF189" s="22"/>
      <c r="AG189" s="22"/>
      <c r="AH189" s="22"/>
      <c r="AI189" s="22"/>
      <c r="AJ189" s="22"/>
      <c r="AK189" s="22"/>
      <c r="AL189" s="22"/>
      <c r="AM189" s="22"/>
      <c r="AN189" s="22"/>
      <c r="AO189" s="22"/>
      <c r="AP189" s="22"/>
      <c r="AQ189" s="22"/>
      <c r="AR189" s="22"/>
      <c r="AS189" s="22"/>
    </row>
    <row r="190" spans="1:45" x14ac:dyDescent="0.3">
      <c r="A190" s="22"/>
      <c r="B190" s="71"/>
      <c r="C190" s="22"/>
      <c r="D190" s="23"/>
      <c r="E190" s="22"/>
      <c r="F190" s="22"/>
      <c r="G190" s="22"/>
      <c r="H190" s="23"/>
      <c r="I190" s="22"/>
      <c r="J190" s="22"/>
      <c r="K190" s="22"/>
      <c r="L190" s="23"/>
      <c r="M190" s="71"/>
      <c r="N190" s="71"/>
      <c r="O190" s="22"/>
      <c r="P190" s="22"/>
      <c r="Q190" s="22"/>
      <c r="R190" s="71"/>
      <c r="AC190" s="22"/>
      <c r="AD190" s="22"/>
      <c r="AE190" s="22"/>
      <c r="AF190" s="22"/>
      <c r="AG190" s="22"/>
      <c r="AH190" s="22"/>
      <c r="AI190" s="22"/>
      <c r="AJ190" s="22"/>
      <c r="AK190" s="22"/>
      <c r="AL190" s="22"/>
      <c r="AM190" s="22"/>
      <c r="AN190" s="22"/>
      <c r="AO190" s="22"/>
      <c r="AP190" s="22"/>
      <c r="AQ190" s="22"/>
      <c r="AR190" s="22"/>
      <c r="AS190" s="22"/>
    </row>
    <row r="191" spans="1:45" x14ac:dyDescent="0.3">
      <c r="A191" s="22"/>
      <c r="B191" s="71"/>
      <c r="C191" s="22"/>
      <c r="D191" s="23"/>
      <c r="E191" s="22"/>
      <c r="F191" s="22"/>
      <c r="G191" s="22"/>
      <c r="H191" s="23"/>
      <c r="I191" s="22"/>
      <c r="J191" s="22"/>
      <c r="K191" s="22"/>
      <c r="L191" s="23"/>
      <c r="M191" s="71"/>
      <c r="N191" s="71"/>
      <c r="O191" s="22"/>
      <c r="P191" s="22"/>
      <c r="Q191" s="22"/>
      <c r="R191" s="71"/>
      <c r="AC191" s="22"/>
      <c r="AD191" s="22"/>
      <c r="AE191" s="22"/>
      <c r="AF191" s="22"/>
      <c r="AG191" s="22"/>
      <c r="AH191" s="22"/>
      <c r="AI191" s="22"/>
      <c r="AJ191" s="22"/>
      <c r="AK191" s="22"/>
      <c r="AL191" s="22"/>
      <c r="AM191" s="22"/>
      <c r="AN191" s="22"/>
      <c r="AO191" s="22"/>
      <c r="AP191" s="22"/>
      <c r="AQ191" s="22"/>
      <c r="AR191" s="22"/>
      <c r="AS191" s="22"/>
    </row>
    <row r="192" spans="1:45" x14ac:dyDescent="0.3">
      <c r="A192" s="22"/>
      <c r="B192" s="71"/>
      <c r="C192" s="22"/>
      <c r="D192" s="23"/>
      <c r="E192" s="22"/>
      <c r="F192" s="22"/>
      <c r="G192" s="22"/>
      <c r="H192" s="23"/>
      <c r="I192" s="22"/>
      <c r="J192" s="22"/>
      <c r="K192" s="22"/>
      <c r="L192" s="23"/>
      <c r="M192" s="71"/>
      <c r="N192" s="71"/>
      <c r="O192" s="22"/>
      <c r="P192" s="22"/>
      <c r="Q192" s="22"/>
      <c r="R192" s="71"/>
      <c r="AC192" s="22"/>
      <c r="AD192" s="22"/>
      <c r="AE192" s="22"/>
      <c r="AF192" s="22"/>
      <c r="AG192" s="22"/>
      <c r="AH192" s="22"/>
      <c r="AI192" s="22"/>
      <c r="AJ192" s="22"/>
      <c r="AK192" s="22"/>
      <c r="AL192" s="22"/>
      <c r="AM192" s="22"/>
      <c r="AN192" s="22"/>
      <c r="AO192" s="22"/>
      <c r="AP192" s="22"/>
      <c r="AQ192" s="22"/>
      <c r="AR192" s="22"/>
      <c r="AS192" s="22"/>
    </row>
    <row r="193" spans="1:45" x14ac:dyDescent="0.3">
      <c r="A193" s="22"/>
      <c r="B193" s="71"/>
      <c r="C193" s="22"/>
      <c r="D193" s="23"/>
      <c r="E193" s="22"/>
      <c r="F193" s="22"/>
      <c r="G193" s="22"/>
      <c r="H193" s="23"/>
      <c r="I193" s="22"/>
      <c r="J193" s="22"/>
      <c r="K193" s="22"/>
      <c r="L193" s="23"/>
      <c r="M193" s="71"/>
      <c r="N193" s="71"/>
      <c r="O193" s="22"/>
      <c r="P193" s="22"/>
      <c r="Q193" s="22"/>
      <c r="R193" s="71"/>
      <c r="AC193" s="22"/>
      <c r="AD193" s="22"/>
      <c r="AE193" s="22"/>
      <c r="AF193" s="22"/>
      <c r="AG193" s="22"/>
      <c r="AH193" s="22"/>
      <c r="AI193" s="22"/>
      <c r="AJ193" s="22"/>
      <c r="AK193" s="22"/>
      <c r="AL193" s="22"/>
      <c r="AM193" s="22"/>
      <c r="AN193" s="22"/>
      <c r="AO193" s="22"/>
      <c r="AP193" s="22"/>
      <c r="AQ193" s="22"/>
      <c r="AR193" s="22"/>
      <c r="AS193" s="22"/>
    </row>
    <row r="194" spans="1:45" x14ac:dyDescent="0.3">
      <c r="A194" s="22"/>
      <c r="B194" s="71"/>
      <c r="C194" s="22"/>
      <c r="D194" s="23"/>
      <c r="E194" s="22"/>
      <c r="F194" s="22"/>
      <c r="G194" s="22"/>
      <c r="H194" s="23"/>
      <c r="I194" s="22"/>
      <c r="J194" s="22"/>
      <c r="K194" s="22"/>
      <c r="L194" s="23"/>
      <c r="M194" s="71"/>
      <c r="N194" s="71"/>
      <c r="O194" s="22"/>
      <c r="P194" s="22"/>
      <c r="Q194" s="22"/>
      <c r="R194" s="71"/>
      <c r="AC194" s="22"/>
      <c r="AD194" s="22"/>
      <c r="AE194" s="22"/>
      <c r="AF194" s="22"/>
      <c r="AG194" s="22"/>
      <c r="AH194" s="22"/>
      <c r="AI194" s="22"/>
      <c r="AJ194" s="22"/>
      <c r="AK194" s="22"/>
      <c r="AL194" s="22"/>
      <c r="AM194" s="22"/>
      <c r="AN194" s="22"/>
      <c r="AO194" s="22"/>
      <c r="AP194" s="22"/>
      <c r="AQ194" s="22"/>
      <c r="AR194" s="22"/>
      <c r="AS194" s="22"/>
    </row>
    <row r="195" spans="1:45" x14ac:dyDescent="0.3">
      <c r="A195" s="22"/>
      <c r="B195" s="71"/>
      <c r="C195" s="22"/>
      <c r="D195" s="23"/>
      <c r="E195" s="22"/>
      <c r="F195" s="22"/>
      <c r="G195" s="22"/>
      <c r="H195" s="23"/>
      <c r="I195" s="22"/>
      <c r="J195" s="22"/>
      <c r="K195" s="22"/>
      <c r="L195" s="23"/>
      <c r="M195" s="71"/>
      <c r="N195" s="71"/>
      <c r="O195" s="22"/>
      <c r="P195" s="22"/>
      <c r="Q195" s="22"/>
      <c r="R195" s="71"/>
      <c r="AC195" s="22"/>
      <c r="AD195" s="22"/>
      <c r="AE195" s="22"/>
      <c r="AF195" s="22"/>
      <c r="AG195" s="22"/>
      <c r="AH195" s="22"/>
      <c r="AI195" s="22"/>
      <c r="AJ195" s="22"/>
      <c r="AK195" s="22"/>
      <c r="AL195" s="22"/>
      <c r="AM195" s="22"/>
      <c r="AN195" s="22"/>
      <c r="AO195" s="22"/>
      <c r="AP195" s="22"/>
      <c r="AQ195" s="22"/>
      <c r="AR195" s="22"/>
      <c r="AS195" s="22"/>
    </row>
    <row r="196" spans="1:45" x14ac:dyDescent="0.3">
      <c r="A196" s="22"/>
      <c r="B196" s="71"/>
      <c r="C196" s="22"/>
      <c r="D196" s="23"/>
      <c r="E196" s="22"/>
      <c r="F196" s="22"/>
      <c r="G196" s="22"/>
      <c r="H196" s="23"/>
      <c r="I196" s="22"/>
      <c r="J196" s="22"/>
      <c r="K196" s="22"/>
      <c r="L196" s="23"/>
      <c r="M196" s="71"/>
      <c r="N196" s="71"/>
      <c r="O196" s="22"/>
      <c r="P196" s="22"/>
      <c r="Q196" s="22"/>
      <c r="R196" s="71"/>
      <c r="AC196" s="22"/>
      <c r="AD196" s="22"/>
      <c r="AE196" s="22"/>
      <c r="AF196" s="22"/>
      <c r="AG196" s="22"/>
      <c r="AH196" s="22"/>
      <c r="AI196" s="22"/>
      <c r="AJ196" s="22"/>
      <c r="AK196" s="22"/>
      <c r="AL196" s="22"/>
      <c r="AM196" s="22"/>
      <c r="AN196" s="22"/>
      <c r="AO196" s="22"/>
      <c r="AP196" s="22"/>
      <c r="AQ196" s="22"/>
      <c r="AR196" s="22"/>
      <c r="AS196" s="22"/>
    </row>
    <row r="197" spans="1:45" x14ac:dyDescent="0.3">
      <c r="A197" s="22"/>
      <c r="B197" s="71"/>
      <c r="C197" s="22"/>
      <c r="D197" s="23"/>
      <c r="E197" s="22"/>
      <c r="F197" s="22"/>
      <c r="G197" s="22"/>
      <c r="H197" s="23"/>
      <c r="I197" s="22"/>
      <c r="J197" s="22"/>
      <c r="K197" s="22"/>
      <c r="L197" s="23"/>
      <c r="M197" s="71"/>
      <c r="N197" s="71"/>
      <c r="O197" s="22"/>
      <c r="P197" s="22"/>
      <c r="Q197" s="22"/>
      <c r="R197" s="71"/>
      <c r="AC197" s="22"/>
      <c r="AD197" s="22"/>
      <c r="AE197" s="22"/>
      <c r="AF197" s="22"/>
      <c r="AG197" s="22"/>
      <c r="AH197" s="22"/>
      <c r="AI197" s="22"/>
      <c r="AJ197" s="22"/>
      <c r="AK197" s="22"/>
      <c r="AL197" s="22"/>
      <c r="AM197" s="22"/>
      <c r="AN197" s="22"/>
      <c r="AO197" s="22"/>
      <c r="AP197" s="22"/>
      <c r="AQ197" s="22"/>
      <c r="AR197" s="22"/>
      <c r="AS197" s="22"/>
    </row>
    <row r="198" spans="1:45" x14ac:dyDescent="0.3">
      <c r="A198" s="22"/>
      <c r="B198" s="71"/>
      <c r="C198" s="22"/>
      <c r="D198" s="23"/>
      <c r="E198" s="22"/>
      <c r="F198" s="22"/>
      <c r="G198" s="22"/>
      <c r="H198" s="23"/>
      <c r="I198" s="22"/>
      <c r="J198" s="22"/>
      <c r="K198" s="22"/>
      <c r="L198" s="23"/>
      <c r="M198" s="71"/>
      <c r="N198" s="71"/>
      <c r="O198" s="22"/>
      <c r="P198" s="22"/>
      <c r="Q198" s="22"/>
      <c r="R198" s="71"/>
      <c r="AC198" s="22"/>
      <c r="AD198" s="22"/>
      <c r="AE198" s="22"/>
      <c r="AF198" s="22"/>
      <c r="AG198" s="22"/>
      <c r="AH198" s="22"/>
      <c r="AI198" s="22"/>
      <c r="AJ198" s="22"/>
      <c r="AK198" s="22"/>
      <c r="AL198" s="22"/>
      <c r="AM198" s="22"/>
      <c r="AN198" s="22"/>
      <c r="AO198" s="22"/>
      <c r="AP198" s="22"/>
      <c r="AQ198" s="22"/>
      <c r="AR198" s="22"/>
      <c r="AS198" s="22"/>
    </row>
    <row r="199" spans="1:45" x14ac:dyDescent="0.3">
      <c r="A199" s="22"/>
      <c r="B199" s="71"/>
      <c r="C199" s="22"/>
      <c r="D199" s="23"/>
      <c r="E199" s="22"/>
      <c r="F199" s="22"/>
      <c r="G199" s="22"/>
      <c r="H199" s="23"/>
      <c r="I199" s="22"/>
      <c r="J199" s="22"/>
      <c r="K199" s="22"/>
      <c r="L199" s="23"/>
      <c r="M199" s="71"/>
      <c r="N199" s="71"/>
      <c r="O199" s="22"/>
      <c r="P199" s="22"/>
      <c r="Q199" s="22"/>
      <c r="R199" s="71"/>
      <c r="AC199" s="22"/>
      <c r="AD199" s="22"/>
      <c r="AE199" s="22"/>
      <c r="AF199" s="22"/>
      <c r="AG199" s="22"/>
      <c r="AH199" s="22"/>
      <c r="AI199" s="22"/>
      <c r="AJ199" s="22"/>
      <c r="AK199" s="22"/>
      <c r="AL199" s="22"/>
      <c r="AM199" s="22"/>
      <c r="AN199" s="22"/>
      <c r="AO199" s="22"/>
      <c r="AP199" s="22"/>
      <c r="AQ199" s="22"/>
      <c r="AR199" s="22"/>
      <c r="AS199" s="22"/>
    </row>
    <row r="200" spans="1:45" x14ac:dyDescent="0.3">
      <c r="A200" s="22"/>
      <c r="B200" s="71"/>
      <c r="C200" s="22"/>
      <c r="D200" s="23"/>
      <c r="E200" s="22"/>
      <c r="F200" s="22"/>
      <c r="G200" s="22"/>
      <c r="H200" s="23"/>
      <c r="I200" s="22"/>
      <c r="J200" s="22"/>
      <c r="K200" s="22"/>
      <c r="L200" s="23"/>
      <c r="M200" s="71"/>
      <c r="N200" s="71"/>
      <c r="O200" s="22"/>
      <c r="P200" s="22"/>
      <c r="Q200" s="22"/>
      <c r="R200" s="71"/>
      <c r="AC200" s="22"/>
      <c r="AD200" s="22"/>
      <c r="AE200" s="22"/>
      <c r="AF200" s="22"/>
      <c r="AG200" s="22"/>
      <c r="AH200" s="22"/>
      <c r="AI200" s="22"/>
      <c r="AJ200" s="22"/>
      <c r="AK200" s="22"/>
      <c r="AL200" s="22"/>
      <c r="AM200" s="22"/>
      <c r="AN200" s="22"/>
      <c r="AO200" s="22"/>
      <c r="AP200" s="22"/>
      <c r="AQ200" s="22"/>
      <c r="AR200" s="22"/>
      <c r="AS200" s="22"/>
    </row>
    <row r="201" spans="1:45" x14ac:dyDescent="0.3">
      <c r="A201" s="22"/>
      <c r="B201" s="71"/>
      <c r="C201" s="22"/>
      <c r="D201" s="23"/>
      <c r="E201" s="22"/>
      <c r="F201" s="22"/>
      <c r="G201" s="22"/>
      <c r="H201" s="23"/>
      <c r="I201" s="22"/>
      <c r="J201" s="22"/>
      <c r="K201" s="22"/>
      <c r="L201" s="23"/>
      <c r="M201" s="71"/>
      <c r="N201" s="71"/>
      <c r="O201" s="22"/>
      <c r="P201" s="22"/>
      <c r="Q201" s="22"/>
      <c r="R201" s="71"/>
      <c r="AC201" s="22"/>
      <c r="AD201" s="22"/>
      <c r="AE201" s="22"/>
      <c r="AF201" s="22"/>
      <c r="AG201" s="22"/>
      <c r="AH201" s="22"/>
      <c r="AI201" s="22"/>
      <c r="AJ201" s="22"/>
      <c r="AK201" s="22"/>
      <c r="AL201" s="22"/>
      <c r="AM201" s="22"/>
      <c r="AN201" s="22"/>
      <c r="AO201" s="22"/>
      <c r="AP201" s="22"/>
      <c r="AQ201" s="22"/>
      <c r="AR201" s="22"/>
      <c r="AS201" s="22"/>
    </row>
    <row r="202" spans="1:45" x14ac:dyDescent="0.3">
      <c r="A202" s="22"/>
      <c r="B202" s="71"/>
      <c r="C202" s="22"/>
      <c r="D202" s="23"/>
      <c r="E202" s="22"/>
      <c r="F202" s="22"/>
      <c r="G202" s="22"/>
      <c r="H202" s="23"/>
      <c r="I202" s="22"/>
      <c r="J202" s="22"/>
      <c r="K202" s="22"/>
      <c r="L202" s="23"/>
      <c r="M202" s="71"/>
      <c r="N202" s="71"/>
      <c r="O202" s="22"/>
      <c r="P202" s="22"/>
      <c r="Q202" s="22"/>
      <c r="R202" s="71"/>
      <c r="AC202" s="22"/>
      <c r="AD202" s="22"/>
      <c r="AE202" s="22"/>
      <c r="AF202" s="22"/>
      <c r="AG202" s="22"/>
      <c r="AH202" s="22"/>
      <c r="AI202" s="22"/>
      <c r="AJ202" s="22"/>
      <c r="AK202" s="22"/>
      <c r="AL202" s="22"/>
      <c r="AM202" s="22"/>
      <c r="AN202" s="22"/>
      <c r="AO202" s="22"/>
      <c r="AP202" s="22"/>
      <c r="AQ202" s="22"/>
      <c r="AR202" s="22"/>
      <c r="AS202" s="22"/>
    </row>
    <row r="203" spans="1:45" x14ac:dyDescent="0.3">
      <c r="A203" s="22"/>
      <c r="B203" s="71"/>
      <c r="C203" s="22"/>
      <c r="D203" s="23"/>
      <c r="E203" s="22"/>
      <c r="F203" s="22"/>
      <c r="G203" s="22"/>
      <c r="H203" s="23"/>
      <c r="I203" s="22"/>
      <c r="J203" s="22"/>
      <c r="K203" s="22"/>
      <c r="L203" s="23"/>
      <c r="M203" s="71"/>
      <c r="N203" s="71"/>
      <c r="O203" s="22"/>
      <c r="P203" s="22"/>
      <c r="Q203" s="22"/>
      <c r="R203" s="71"/>
      <c r="AC203" s="22"/>
      <c r="AD203" s="22"/>
      <c r="AE203" s="22"/>
      <c r="AF203" s="22"/>
      <c r="AG203" s="22"/>
      <c r="AH203" s="22"/>
      <c r="AI203" s="22"/>
      <c r="AJ203" s="22"/>
      <c r="AK203" s="22"/>
      <c r="AL203" s="22"/>
      <c r="AM203" s="22"/>
      <c r="AN203" s="22"/>
      <c r="AO203" s="22"/>
      <c r="AP203" s="22"/>
      <c r="AQ203" s="22"/>
      <c r="AR203" s="22"/>
      <c r="AS203" s="22"/>
    </row>
    <row r="204" spans="1:45" x14ac:dyDescent="0.3">
      <c r="A204" s="22"/>
      <c r="B204" s="71"/>
      <c r="C204" s="22"/>
      <c r="D204" s="23"/>
      <c r="E204" s="22"/>
      <c r="F204" s="22"/>
      <c r="G204" s="22"/>
      <c r="H204" s="23"/>
      <c r="I204" s="22"/>
      <c r="J204" s="22"/>
      <c r="K204" s="22"/>
      <c r="L204" s="23"/>
      <c r="M204" s="71"/>
      <c r="N204" s="71"/>
      <c r="O204" s="22"/>
      <c r="P204" s="22"/>
      <c r="Q204" s="22"/>
      <c r="R204" s="71"/>
      <c r="AC204" s="22"/>
      <c r="AD204" s="22"/>
      <c r="AE204" s="22"/>
      <c r="AF204" s="22"/>
      <c r="AG204" s="22"/>
      <c r="AH204" s="22"/>
      <c r="AI204" s="22"/>
      <c r="AJ204" s="22"/>
      <c r="AK204" s="22"/>
      <c r="AL204" s="22"/>
      <c r="AM204" s="22"/>
      <c r="AN204" s="22"/>
      <c r="AO204" s="22"/>
      <c r="AP204" s="22"/>
      <c r="AQ204" s="22"/>
      <c r="AR204" s="22"/>
      <c r="AS204" s="22"/>
    </row>
    <row r="205" spans="1:45" x14ac:dyDescent="0.3">
      <c r="A205" s="22"/>
      <c r="B205" s="71"/>
      <c r="C205" s="22"/>
      <c r="D205" s="23"/>
      <c r="E205" s="22"/>
      <c r="F205" s="22"/>
      <c r="G205" s="22"/>
      <c r="H205" s="23"/>
      <c r="I205" s="22"/>
      <c r="J205" s="22"/>
      <c r="K205" s="22"/>
      <c r="L205" s="23"/>
      <c r="M205" s="71"/>
      <c r="N205" s="71"/>
      <c r="O205" s="22"/>
      <c r="P205" s="22"/>
      <c r="Q205" s="22"/>
      <c r="R205" s="71"/>
      <c r="AC205" s="22"/>
      <c r="AD205" s="22"/>
      <c r="AE205" s="22"/>
      <c r="AF205" s="22"/>
      <c r="AG205" s="22"/>
      <c r="AH205" s="22"/>
      <c r="AI205" s="22"/>
      <c r="AJ205" s="22"/>
      <c r="AK205" s="22"/>
      <c r="AL205" s="22"/>
      <c r="AM205" s="22"/>
      <c r="AN205" s="22"/>
      <c r="AO205" s="22"/>
      <c r="AP205" s="22"/>
      <c r="AQ205" s="22"/>
      <c r="AR205" s="22"/>
      <c r="AS205" s="22"/>
    </row>
    <row r="206" spans="1:45" x14ac:dyDescent="0.3">
      <c r="A206" s="22"/>
      <c r="B206" s="71"/>
      <c r="C206" s="22"/>
      <c r="D206" s="23"/>
      <c r="E206" s="22"/>
      <c r="F206" s="22"/>
      <c r="G206" s="22"/>
      <c r="H206" s="23"/>
      <c r="I206" s="22"/>
      <c r="J206" s="22"/>
      <c r="K206" s="22"/>
      <c r="L206" s="23"/>
      <c r="M206" s="71"/>
      <c r="N206" s="71"/>
      <c r="O206" s="22"/>
      <c r="P206" s="22"/>
      <c r="Q206" s="22"/>
      <c r="R206" s="71"/>
      <c r="AC206" s="22"/>
      <c r="AD206" s="22"/>
      <c r="AE206" s="22"/>
      <c r="AF206" s="22"/>
      <c r="AG206" s="22"/>
      <c r="AH206" s="22"/>
      <c r="AI206" s="22"/>
      <c r="AJ206" s="22"/>
      <c r="AK206" s="22"/>
      <c r="AL206" s="22"/>
      <c r="AM206" s="22"/>
      <c r="AN206" s="22"/>
      <c r="AO206" s="22"/>
      <c r="AP206" s="22"/>
      <c r="AQ206" s="22"/>
      <c r="AR206" s="22"/>
      <c r="AS206" s="22"/>
    </row>
    <row r="207" spans="1:45" x14ac:dyDescent="0.3">
      <c r="A207" s="22"/>
      <c r="B207" s="71"/>
      <c r="C207" s="22"/>
      <c r="D207" s="23"/>
      <c r="E207" s="22"/>
      <c r="F207" s="22"/>
      <c r="G207" s="22"/>
      <c r="H207" s="23"/>
      <c r="I207" s="22"/>
      <c r="J207" s="22"/>
      <c r="K207" s="22"/>
      <c r="L207" s="23"/>
      <c r="M207" s="71"/>
      <c r="N207" s="71"/>
      <c r="O207" s="22"/>
      <c r="P207" s="22"/>
      <c r="Q207" s="22"/>
      <c r="R207" s="71"/>
      <c r="AC207" s="22"/>
      <c r="AD207" s="22"/>
      <c r="AE207" s="22"/>
      <c r="AF207" s="22"/>
      <c r="AG207" s="22"/>
      <c r="AH207" s="22"/>
      <c r="AI207" s="22"/>
      <c r="AJ207" s="22"/>
      <c r="AK207" s="22"/>
      <c r="AL207" s="22"/>
      <c r="AM207" s="22"/>
      <c r="AN207" s="22"/>
      <c r="AO207" s="22"/>
      <c r="AP207" s="22"/>
      <c r="AQ207" s="22"/>
      <c r="AR207" s="22"/>
      <c r="AS207" s="22"/>
    </row>
    <row r="208" spans="1:45" x14ac:dyDescent="0.3">
      <c r="A208" s="22"/>
      <c r="B208" s="71"/>
      <c r="C208" s="22"/>
      <c r="D208" s="23"/>
      <c r="E208" s="22"/>
      <c r="F208" s="22"/>
      <c r="G208" s="22"/>
      <c r="H208" s="23"/>
      <c r="I208" s="22"/>
      <c r="J208" s="22"/>
      <c r="K208" s="22"/>
      <c r="L208" s="23"/>
      <c r="M208" s="71"/>
      <c r="N208" s="71"/>
      <c r="O208" s="22"/>
      <c r="P208" s="22"/>
      <c r="Q208" s="22"/>
      <c r="R208" s="71"/>
      <c r="AC208" s="22"/>
      <c r="AD208" s="22"/>
      <c r="AE208" s="22"/>
      <c r="AF208" s="22"/>
      <c r="AG208" s="22"/>
      <c r="AH208" s="22"/>
      <c r="AI208" s="22"/>
      <c r="AJ208" s="22"/>
      <c r="AK208" s="22"/>
      <c r="AL208" s="22"/>
      <c r="AM208" s="22"/>
      <c r="AN208" s="22"/>
      <c r="AO208" s="22"/>
      <c r="AP208" s="22"/>
      <c r="AQ208" s="22"/>
      <c r="AR208" s="22"/>
      <c r="AS208" s="22"/>
    </row>
    <row r="209" spans="1:45" x14ac:dyDescent="0.3">
      <c r="A209" s="22"/>
      <c r="B209" s="71"/>
      <c r="C209" s="22"/>
      <c r="D209" s="23"/>
      <c r="E209" s="22"/>
      <c r="F209" s="22"/>
      <c r="G209" s="22"/>
      <c r="H209" s="23"/>
      <c r="I209" s="22"/>
      <c r="J209" s="22"/>
      <c r="K209" s="22"/>
      <c r="L209" s="23"/>
      <c r="M209" s="71"/>
      <c r="N209" s="71"/>
      <c r="O209" s="22"/>
      <c r="P209" s="22"/>
      <c r="Q209" s="22"/>
      <c r="R209" s="71"/>
      <c r="AC209" s="22"/>
      <c r="AD209" s="22"/>
      <c r="AE209" s="22"/>
      <c r="AF209" s="22"/>
      <c r="AG209" s="22"/>
      <c r="AH209" s="22"/>
      <c r="AI209" s="22"/>
      <c r="AJ209" s="22"/>
      <c r="AK209" s="22"/>
      <c r="AL209" s="22"/>
      <c r="AM209" s="22"/>
      <c r="AN209" s="22"/>
      <c r="AO209" s="22"/>
      <c r="AP209" s="22"/>
      <c r="AQ209" s="22"/>
      <c r="AR209" s="22"/>
      <c r="AS209" s="22"/>
    </row>
    <row r="210" spans="1:45" x14ac:dyDescent="0.3">
      <c r="A210" s="22"/>
      <c r="B210" s="71"/>
      <c r="C210" s="22"/>
      <c r="D210" s="23"/>
      <c r="E210" s="22"/>
      <c r="F210" s="22"/>
      <c r="G210" s="22"/>
      <c r="H210" s="23"/>
      <c r="I210" s="22"/>
      <c r="J210" s="22"/>
      <c r="K210" s="22"/>
      <c r="L210" s="23"/>
      <c r="M210" s="71"/>
      <c r="N210" s="71"/>
      <c r="O210" s="22"/>
      <c r="P210" s="22"/>
      <c r="Q210" s="22"/>
      <c r="R210" s="71"/>
      <c r="AC210" s="22"/>
      <c r="AD210" s="22"/>
      <c r="AE210" s="22"/>
      <c r="AF210" s="22"/>
      <c r="AG210" s="22"/>
      <c r="AH210" s="22"/>
      <c r="AI210" s="22"/>
      <c r="AJ210" s="22"/>
      <c r="AK210" s="22"/>
      <c r="AL210" s="22"/>
      <c r="AM210" s="22"/>
      <c r="AN210" s="22"/>
      <c r="AO210" s="22"/>
      <c r="AP210" s="22"/>
      <c r="AQ210" s="22"/>
      <c r="AR210" s="22"/>
      <c r="AS210" s="22"/>
    </row>
    <row r="211" spans="1:45" x14ac:dyDescent="0.3">
      <c r="A211" s="22"/>
      <c r="B211" s="71"/>
      <c r="C211" s="22"/>
      <c r="D211" s="23"/>
      <c r="E211" s="22"/>
      <c r="F211" s="22"/>
      <c r="G211" s="22"/>
      <c r="H211" s="23"/>
      <c r="I211" s="22"/>
      <c r="J211" s="22"/>
      <c r="K211" s="22"/>
      <c r="L211" s="23"/>
      <c r="M211" s="71"/>
      <c r="N211" s="71"/>
      <c r="O211" s="22"/>
      <c r="P211" s="22"/>
      <c r="Q211" s="22"/>
      <c r="R211" s="71"/>
      <c r="AC211" s="22"/>
      <c r="AD211" s="22"/>
      <c r="AE211" s="22"/>
      <c r="AF211" s="22"/>
      <c r="AG211" s="22"/>
      <c r="AH211" s="22"/>
      <c r="AI211" s="22"/>
      <c r="AJ211" s="22"/>
      <c r="AK211" s="22"/>
      <c r="AL211" s="22"/>
      <c r="AM211" s="22"/>
      <c r="AN211" s="22"/>
      <c r="AO211" s="22"/>
      <c r="AP211" s="22"/>
      <c r="AQ211" s="22"/>
      <c r="AR211" s="22"/>
      <c r="AS211" s="22"/>
    </row>
    <row r="212" spans="1:45" x14ac:dyDescent="0.3">
      <c r="A212" s="22"/>
      <c r="B212" s="71"/>
      <c r="C212" s="22"/>
      <c r="D212" s="23"/>
      <c r="E212" s="22"/>
      <c r="F212" s="22"/>
      <c r="G212" s="22"/>
      <c r="H212" s="23"/>
      <c r="I212" s="22"/>
      <c r="J212" s="22"/>
      <c r="K212" s="22"/>
      <c r="L212" s="23"/>
      <c r="M212" s="71"/>
      <c r="N212" s="71"/>
      <c r="O212" s="22"/>
      <c r="P212" s="22"/>
      <c r="Q212" s="22"/>
      <c r="R212" s="71"/>
      <c r="AC212" s="22"/>
      <c r="AD212" s="22"/>
      <c r="AE212" s="22"/>
      <c r="AF212" s="22"/>
      <c r="AG212" s="22"/>
      <c r="AH212" s="22"/>
      <c r="AI212" s="22"/>
      <c r="AJ212" s="22"/>
      <c r="AK212" s="22"/>
      <c r="AL212" s="22"/>
      <c r="AM212" s="22"/>
      <c r="AN212" s="22"/>
      <c r="AO212" s="22"/>
      <c r="AP212" s="22"/>
      <c r="AQ212" s="22"/>
      <c r="AR212" s="22"/>
      <c r="AS212" s="22"/>
    </row>
    <row r="213" spans="1:45" x14ac:dyDescent="0.3">
      <c r="A213" s="22"/>
      <c r="B213" s="71"/>
      <c r="C213" s="22"/>
      <c r="D213" s="23"/>
      <c r="E213" s="22"/>
      <c r="F213" s="22"/>
      <c r="G213" s="22"/>
      <c r="H213" s="23"/>
      <c r="I213" s="22"/>
      <c r="J213" s="22"/>
      <c r="K213" s="22"/>
      <c r="L213" s="23"/>
      <c r="M213" s="71"/>
      <c r="N213" s="71"/>
      <c r="O213" s="22"/>
      <c r="P213" s="22"/>
      <c r="Q213" s="22"/>
      <c r="R213" s="71"/>
      <c r="AC213" s="22"/>
      <c r="AD213" s="22"/>
      <c r="AE213" s="22"/>
      <c r="AF213" s="22"/>
      <c r="AG213" s="22"/>
      <c r="AH213" s="22"/>
      <c r="AI213" s="22"/>
      <c r="AJ213" s="22"/>
      <c r="AK213" s="22"/>
      <c r="AL213" s="22"/>
      <c r="AM213" s="22"/>
      <c r="AN213" s="22"/>
      <c r="AO213" s="22"/>
      <c r="AP213" s="22"/>
      <c r="AQ213" s="22"/>
      <c r="AR213" s="22"/>
      <c r="AS213" s="22"/>
    </row>
    <row r="214" spans="1:45" x14ac:dyDescent="0.3">
      <c r="A214" s="22"/>
      <c r="B214" s="71"/>
      <c r="C214" s="22"/>
      <c r="D214" s="23"/>
      <c r="E214" s="22"/>
      <c r="F214" s="22"/>
      <c r="G214" s="22"/>
      <c r="H214" s="23"/>
      <c r="I214" s="22"/>
      <c r="J214" s="22"/>
      <c r="K214" s="22"/>
      <c r="L214" s="23"/>
      <c r="M214" s="71"/>
      <c r="N214" s="71"/>
      <c r="O214" s="22"/>
      <c r="P214" s="22"/>
      <c r="Q214" s="22"/>
      <c r="R214" s="71"/>
      <c r="AC214" s="22"/>
      <c r="AD214" s="22"/>
      <c r="AE214" s="22"/>
      <c r="AF214" s="22"/>
      <c r="AG214" s="22"/>
      <c r="AH214" s="22"/>
      <c r="AI214" s="22"/>
      <c r="AJ214" s="22"/>
      <c r="AK214" s="22"/>
      <c r="AL214" s="22"/>
      <c r="AM214" s="22"/>
      <c r="AN214" s="22"/>
      <c r="AO214" s="22"/>
      <c r="AP214" s="22"/>
      <c r="AQ214" s="22"/>
      <c r="AR214" s="22"/>
      <c r="AS214" s="22"/>
    </row>
    <row r="215" spans="1:45" x14ac:dyDescent="0.3">
      <c r="A215" s="22"/>
      <c r="B215" s="71"/>
      <c r="C215" s="22"/>
      <c r="D215" s="23"/>
      <c r="E215" s="22"/>
      <c r="F215" s="22"/>
      <c r="G215" s="22"/>
      <c r="H215" s="23"/>
      <c r="I215" s="22"/>
      <c r="J215" s="22"/>
      <c r="K215" s="22"/>
      <c r="L215" s="23"/>
      <c r="M215" s="71"/>
      <c r="N215" s="71"/>
      <c r="O215" s="22"/>
      <c r="P215" s="22"/>
      <c r="Q215" s="22"/>
      <c r="R215" s="71"/>
      <c r="AC215" s="22"/>
      <c r="AD215" s="22"/>
      <c r="AE215" s="22"/>
      <c r="AF215" s="22"/>
      <c r="AG215" s="22"/>
      <c r="AH215" s="22"/>
      <c r="AI215" s="22"/>
      <c r="AJ215" s="22"/>
      <c r="AK215" s="22"/>
      <c r="AL215" s="22"/>
      <c r="AM215" s="22"/>
      <c r="AN215" s="22"/>
      <c r="AO215" s="22"/>
      <c r="AP215" s="22"/>
      <c r="AQ215" s="22"/>
      <c r="AR215" s="22"/>
      <c r="AS215" s="22"/>
    </row>
    <row r="216" spans="1:45" x14ac:dyDescent="0.3">
      <c r="A216" s="22"/>
      <c r="B216" s="71"/>
      <c r="C216" s="22"/>
      <c r="D216" s="23"/>
      <c r="E216" s="22"/>
      <c r="F216" s="22"/>
      <c r="G216" s="22"/>
      <c r="H216" s="23"/>
      <c r="I216" s="22"/>
      <c r="J216" s="22"/>
      <c r="K216" s="22"/>
      <c r="L216" s="23"/>
      <c r="M216" s="71"/>
      <c r="N216" s="71"/>
      <c r="O216" s="22"/>
      <c r="P216" s="22"/>
      <c r="Q216" s="22"/>
      <c r="R216" s="71"/>
      <c r="AC216" s="22"/>
      <c r="AD216" s="22"/>
      <c r="AE216" s="22"/>
      <c r="AF216" s="22"/>
      <c r="AG216" s="22"/>
      <c r="AH216" s="22"/>
      <c r="AI216" s="22"/>
      <c r="AJ216" s="22"/>
      <c r="AK216" s="22"/>
      <c r="AL216" s="22"/>
      <c r="AM216" s="22"/>
      <c r="AN216" s="22"/>
      <c r="AO216" s="22"/>
      <c r="AP216" s="22"/>
      <c r="AQ216" s="22"/>
      <c r="AR216" s="22"/>
      <c r="AS216" s="22"/>
    </row>
    <row r="217" spans="1:45" x14ac:dyDescent="0.3">
      <c r="A217" s="22"/>
      <c r="B217" s="71"/>
      <c r="C217" s="22"/>
      <c r="D217" s="23"/>
      <c r="E217" s="22"/>
      <c r="F217" s="22"/>
      <c r="G217" s="22"/>
      <c r="H217" s="23"/>
      <c r="I217" s="22"/>
      <c r="J217" s="22"/>
      <c r="K217" s="22"/>
      <c r="L217" s="23"/>
      <c r="M217" s="71"/>
      <c r="N217" s="71"/>
      <c r="O217" s="22"/>
      <c r="P217" s="22"/>
      <c r="Q217" s="22"/>
      <c r="R217" s="71"/>
      <c r="AC217" s="22"/>
      <c r="AD217" s="22"/>
      <c r="AE217" s="22"/>
      <c r="AF217" s="22"/>
      <c r="AG217" s="22"/>
      <c r="AH217" s="22"/>
      <c r="AI217" s="22"/>
      <c r="AJ217" s="22"/>
      <c r="AK217" s="22"/>
      <c r="AL217" s="22"/>
      <c r="AM217" s="22"/>
      <c r="AN217" s="22"/>
      <c r="AO217" s="22"/>
      <c r="AP217" s="22"/>
      <c r="AQ217" s="22"/>
      <c r="AR217" s="22"/>
      <c r="AS217" s="22"/>
    </row>
    <row r="218" spans="1:45" x14ac:dyDescent="0.3">
      <c r="A218" s="22"/>
      <c r="B218" s="71"/>
      <c r="C218" s="22"/>
      <c r="D218" s="23"/>
      <c r="E218" s="22"/>
      <c r="F218" s="22"/>
      <c r="G218" s="22"/>
      <c r="H218" s="23"/>
      <c r="I218" s="22"/>
      <c r="J218" s="22"/>
      <c r="K218" s="22"/>
      <c r="L218" s="23"/>
      <c r="M218" s="71"/>
      <c r="N218" s="71"/>
      <c r="O218" s="22"/>
      <c r="P218" s="22"/>
      <c r="Q218" s="22"/>
      <c r="R218" s="71"/>
      <c r="AC218" s="22"/>
      <c r="AD218" s="22"/>
      <c r="AE218" s="22"/>
      <c r="AF218" s="22"/>
      <c r="AG218" s="22"/>
      <c r="AH218" s="22"/>
      <c r="AI218" s="22"/>
      <c r="AJ218" s="22"/>
      <c r="AK218" s="22"/>
      <c r="AL218" s="22"/>
      <c r="AM218" s="22"/>
      <c r="AN218" s="22"/>
      <c r="AO218" s="22"/>
      <c r="AP218" s="22"/>
      <c r="AQ218" s="22"/>
      <c r="AR218" s="22"/>
      <c r="AS218" s="22"/>
    </row>
    <row r="219" spans="1:45" x14ac:dyDescent="0.3">
      <c r="A219" s="22"/>
      <c r="B219" s="71"/>
      <c r="C219" s="22"/>
      <c r="D219" s="23"/>
      <c r="E219" s="22"/>
      <c r="F219" s="22"/>
      <c r="G219" s="22"/>
      <c r="H219" s="23"/>
      <c r="I219" s="22"/>
      <c r="J219" s="22"/>
      <c r="K219" s="22"/>
      <c r="L219" s="23"/>
      <c r="M219" s="71"/>
      <c r="N219" s="71"/>
      <c r="O219" s="22"/>
      <c r="P219" s="22"/>
      <c r="Q219" s="22"/>
      <c r="R219" s="71"/>
      <c r="AC219" s="22"/>
      <c r="AD219" s="22"/>
      <c r="AE219" s="22"/>
      <c r="AF219" s="22"/>
      <c r="AG219" s="22"/>
      <c r="AH219" s="22"/>
      <c r="AI219" s="22"/>
      <c r="AJ219" s="22"/>
      <c r="AK219" s="22"/>
      <c r="AL219" s="22"/>
      <c r="AM219" s="22"/>
      <c r="AN219" s="22"/>
      <c r="AO219" s="22"/>
      <c r="AP219" s="22"/>
      <c r="AQ219" s="22"/>
      <c r="AR219" s="22"/>
      <c r="AS219" s="22"/>
    </row>
    <row r="220" spans="1:45" x14ac:dyDescent="0.3">
      <c r="A220" s="22"/>
      <c r="B220" s="71"/>
      <c r="C220" s="22"/>
      <c r="D220" s="23"/>
      <c r="E220" s="22"/>
      <c r="F220" s="22"/>
      <c r="G220" s="22"/>
      <c r="H220" s="23"/>
      <c r="I220" s="22"/>
      <c r="J220" s="22"/>
      <c r="K220" s="22"/>
      <c r="L220" s="23"/>
      <c r="M220" s="71"/>
      <c r="N220" s="71"/>
      <c r="O220" s="22"/>
      <c r="P220" s="22"/>
      <c r="Q220" s="22"/>
      <c r="R220" s="71"/>
      <c r="AC220" s="22"/>
      <c r="AD220" s="22"/>
      <c r="AE220" s="22"/>
      <c r="AF220" s="22"/>
      <c r="AG220" s="22"/>
      <c r="AH220" s="22"/>
      <c r="AI220" s="22"/>
      <c r="AJ220" s="22"/>
      <c r="AK220" s="22"/>
      <c r="AL220" s="22"/>
      <c r="AM220" s="22"/>
      <c r="AN220" s="22"/>
      <c r="AO220" s="22"/>
      <c r="AP220" s="22"/>
      <c r="AQ220" s="22"/>
      <c r="AR220" s="22"/>
      <c r="AS220" s="22"/>
    </row>
    <row r="221" spans="1:45" x14ac:dyDescent="0.3">
      <c r="A221" s="22"/>
      <c r="B221" s="71"/>
      <c r="C221" s="22"/>
      <c r="D221" s="23"/>
      <c r="E221" s="22"/>
      <c r="F221" s="22"/>
      <c r="G221" s="22"/>
      <c r="H221" s="23"/>
      <c r="I221" s="22"/>
      <c r="J221" s="22"/>
      <c r="K221" s="22"/>
      <c r="L221" s="23"/>
      <c r="M221" s="71"/>
      <c r="N221" s="71"/>
      <c r="O221" s="22"/>
      <c r="P221" s="22"/>
      <c r="Q221" s="22"/>
      <c r="R221" s="71"/>
      <c r="AC221" s="22"/>
      <c r="AD221" s="22"/>
      <c r="AE221" s="22"/>
      <c r="AF221" s="22"/>
      <c r="AG221" s="22"/>
      <c r="AH221" s="22"/>
      <c r="AI221" s="22"/>
      <c r="AJ221" s="22"/>
      <c r="AK221" s="22"/>
      <c r="AL221" s="22"/>
      <c r="AM221" s="22"/>
      <c r="AN221" s="22"/>
      <c r="AO221" s="22"/>
      <c r="AP221" s="22"/>
      <c r="AQ221" s="22"/>
      <c r="AR221" s="22"/>
      <c r="AS221" s="22"/>
    </row>
    <row r="222" spans="1:45" x14ac:dyDescent="0.3">
      <c r="A222" s="22"/>
      <c r="B222" s="71"/>
      <c r="C222" s="22"/>
      <c r="D222" s="23"/>
      <c r="E222" s="22"/>
      <c r="F222" s="22"/>
      <c r="G222" s="22"/>
      <c r="H222" s="23"/>
      <c r="I222" s="22"/>
      <c r="J222" s="22"/>
      <c r="K222" s="22"/>
      <c r="L222" s="23"/>
      <c r="M222" s="71"/>
      <c r="N222" s="71"/>
      <c r="O222" s="22"/>
      <c r="P222" s="22"/>
      <c r="Q222" s="22"/>
      <c r="R222" s="71"/>
      <c r="AC222" s="22"/>
      <c r="AD222" s="22"/>
      <c r="AE222" s="22"/>
      <c r="AF222" s="22"/>
      <c r="AG222" s="22"/>
      <c r="AH222" s="22"/>
      <c r="AI222" s="22"/>
      <c r="AJ222" s="22"/>
      <c r="AK222" s="22"/>
      <c r="AL222" s="22"/>
      <c r="AM222" s="22"/>
      <c r="AN222" s="22"/>
      <c r="AO222" s="22"/>
      <c r="AP222" s="22"/>
      <c r="AQ222" s="22"/>
      <c r="AR222" s="22"/>
      <c r="AS222" s="22"/>
    </row>
    <row r="223" spans="1:45" x14ac:dyDescent="0.3">
      <c r="A223" s="22"/>
      <c r="B223" s="71"/>
      <c r="C223" s="22"/>
      <c r="D223" s="23"/>
      <c r="E223" s="22"/>
      <c r="F223" s="22"/>
      <c r="G223" s="22"/>
      <c r="H223" s="23"/>
      <c r="I223" s="22"/>
      <c r="J223" s="22"/>
      <c r="K223" s="22"/>
      <c r="L223" s="23"/>
      <c r="M223" s="71"/>
      <c r="N223" s="71"/>
      <c r="O223" s="22"/>
      <c r="P223" s="22"/>
      <c r="Q223" s="22"/>
      <c r="R223" s="71"/>
      <c r="AC223" s="22"/>
      <c r="AD223" s="22"/>
      <c r="AE223" s="22"/>
      <c r="AF223" s="22"/>
      <c r="AG223" s="22"/>
      <c r="AH223" s="22"/>
      <c r="AI223" s="22"/>
      <c r="AJ223" s="22"/>
      <c r="AK223" s="22"/>
      <c r="AL223" s="22"/>
      <c r="AM223" s="22"/>
      <c r="AN223" s="22"/>
      <c r="AO223" s="22"/>
      <c r="AP223" s="22"/>
      <c r="AQ223" s="22"/>
      <c r="AR223" s="22"/>
      <c r="AS223" s="22"/>
    </row>
    <row r="224" spans="1:45" x14ac:dyDescent="0.3">
      <c r="A224" s="22"/>
      <c r="B224" s="71"/>
      <c r="C224" s="22"/>
      <c r="D224" s="23"/>
      <c r="E224" s="22"/>
      <c r="F224" s="22"/>
      <c r="G224" s="22"/>
      <c r="H224" s="23"/>
      <c r="I224" s="22"/>
      <c r="J224" s="22"/>
      <c r="K224" s="22"/>
      <c r="L224" s="23"/>
      <c r="M224" s="71"/>
      <c r="N224" s="71"/>
      <c r="O224" s="22"/>
      <c r="P224" s="22"/>
      <c r="Q224" s="22"/>
      <c r="R224" s="71"/>
      <c r="AC224" s="22"/>
      <c r="AD224" s="22"/>
      <c r="AE224" s="22"/>
      <c r="AF224" s="22"/>
      <c r="AG224" s="22"/>
      <c r="AH224" s="22"/>
      <c r="AI224" s="22"/>
      <c r="AJ224" s="22"/>
      <c r="AK224" s="22"/>
      <c r="AL224" s="22"/>
      <c r="AM224" s="22"/>
      <c r="AN224" s="22"/>
      <c r="AO224" s="22"/>
      <c r="AP224" s="22"/>
      <c r="AQ224" s="22"/>
      <c r="AR224" s="22"/>
      <c r="AS224" s="22"/>
    </row>
    <row r="225" spans="1:45" x14ac:dyDescent="0.3">
      <c r="A225" s="22"/>
      <c r="B225" s="71"/>
      <c r="C225" s="22"/>
      <c r="D225" s="23"/>
      <c r="E225" s="22"/>
      <c r="F225" s="22"/>
      <c r="G225" s="22"/>
      <c r="H225" s="23"/>
      <c r="I225" s="22"/>
      <c r="J225" s="22"/>
      <c r="K225" s="22"/>
      <c r="L225" s="23"/>
      <c r="M225" s="71"/>
      <c r="N225" s="71"/>
      <c r="O225" s="22"/>
      <c r="P225" s="22"/>
      <c r="Q225" s="22"/>
      <c r="R225" s="71"/>
      <c r="AC225" s="22"/>
      <c r="AD225" s="22"/>
      <c r="AE225" s="22"/>
      <c r="AF225" s="22"/>
      <c r="AG225" s="22"/>
      <c r="AH225" s="22"/>
      <c r="AI225" s="22"/>
      <c r="AJ225" s="22"/>
      <c r="AK225" s="22"/>
      <c r="AL225" s="22"/>
      <c r="AM225" s="22"/>
      <c r="AN225" s="22"/>
      <c r="AO225" s="22"/>
      <c r="AP225" s="22"/>
      <c r="AQ225" s="22"/>
      <c r="AR225" s="22"/>
      <c r="AS225" s="22"/>
    </row>
    <row r="226" spans="1:45" x14ac:dyDescent="0.3">
      <c r="A226" s="22"/>
      <c r="B226" s="71"/>
      <c r="C226" s="22"/>
      <c r="D226" s="23"/>
      <c r="E226" s="22"/>
      <c r="F226" s="22"/>
      <c r="G226" s="22"/>
      <c r="H226" s="23"/>
      <c r="I226" s="22"/>
      <c r="J226" s="22"/>
      <c r="K226" s="22"/>
      <c r="L226" s="23"/>
      <c r="M226" s="71"/>
      <c r="N226" s="71"/>
      <c r="O226" s="22"/>
      <c r="P226" s="22"/>
      <c r="Q226" s="22"/>
      <c r="R226" s="71"/>
      <c r="AC226" s="22"/>
      <c r="AD226" s="22"/>
      <c r="AE226" s="22"/>
      <c r="AF226" s="22"/>
      <c r="AG226" s="22"/>
      <c r="AH226" s="22"/>
      <c r="AI226" s="22"/>
      <c r="AJ226" s="22"/>
      <c r="AK226" s="22"/>
      <c r="AL226" s="22"/>
      <c r="AM226" s="22"/>
      <c r="AN226" s="22"/>
      <c r="AO226" s="22"/>
      <c r="AP226" s="22"/>
      <c r="AQ226" s="22"/>
      <c r="AR226" s="22"/>
      <c r="AS226" s="22"/>
    </row>
    <row r="227" spans="1:45" x14ac:dyDescent="0.3">
      <c r="A227" s="22"/>
      <c r="B227" s="71"/>
      <c r="C227" s="22"/>
      <c r="D227" s="23"/>
      <c r="E227" s="22"/>
      <c r="F227" s="22"/>
      <c r="G227" s="22"/>
      <c r="H227" s="23"/>
      <c r="I227" s="22"/>
      <c r="J227" s="22"/>
      <c r="K227" s="22"/>
      <c r="L227" s="23"/>
      <c r="M227" s="71"/>
      <c r="N227" s="71"/>
      <c r="O227" s="22"/>
      <c r="P227" s="22"/>
      <c r="Q227" s="22"/>
      <c r="R227" s="71"/>
      <c r="AC227" s="22"/>
      <c r="AD227" s="22"/>
      <c r="AE227" s="22"/>
      <c r="AF227" s="22"/>
      <c r="AG227" s="22"/>
      <c r="AH227" s="22"/>
      <c r="AI227" s="22"/>
      <c r="AJ227" s="22"/>
      <c r="AK227" s="22"/>
      <c r="AL227" s="22"/>
      <c r="AM227" s="22"/>
      <c r="AN227" s="22"/>
      <c r="AO227" s="22"/>
      <c r="AP227" s="22"/>
      <c r="AQ227" s="22"/>
      <c r="AR227" s="22"/>
      <c r="AS227" s="22"/>
    </row>
    <row r="228" spans="1:45" x14ac:dyDescent="0.3">
      <c r="A228" s="22"/>
      <c r="B228" s="71"/>
      <c r="C228" s="22"/>
      <c r="D228" s="23"/>
      <c r="E228" s="22"/>
      <c r="F228" s="22"/>
      <c r="G228" s="22"/>
      <c r="H228" s="23"/>
      <c r="I228" s="22"/>
      <c r="J228" s="22"/>
      <c r="K228" s="22"/>
      <c r="L228" s="23"/>
      <c r="M228" s="71"/>
      <c r="N228" s="71"/>
      <c r="O228" s="22"/>
      <c r="P228" s="22"/>
      <c r="Q228" s="22"/>
      <c r="R228" s="71"/>
      <c r="AC228" s="22"/>
      <c r="AD228" s="22"/>
      <c r="AE228" s="22"/>
      <c r="AF228" s="22"/>
      <c r="AG228" s="22"/>
      <c r="AH228" s="22"/>
      <c r="AI228" s="22"/>
      <c r="AJ228" s="22"/>
      <c r="AK228" s="22"/>
      <c r="AL228" s="22"/>
      <c r="AM228" s="22"/>
      <c r="AN228" s="22"/>
      <c r="AO228" s="22"/>
      <c r="AP228" s="22"/>
      <c r="AQ228" s="22"/>
      <c r="AR228" s="22"/>
      <c r="AS228" s="22"/>
    </row>
    <row r="229" spans="1:45" x14ac:dyDescent="0.3">
      <c r="A229" s="22"/>
      <c r="B229" s="71"/>
      <c r="C229" s="22"/>
      <c r="D229" s="23"/>
      <c r="E229" s="22"/>
      <c r="F229" s="22"/>
      <c r="G229" s="22"/>
      <c r="H229" s="23"/>
      <c r="I229" s="22"/>
      <c r="J229" s="22"/>
      <c r="K229" s="22"/>
      <c r="L229" s="23"/>
      <c r="M229" s="71"/>
      <c r="N229" s="71"/>
      <c r="O229" s="22"/>
      <c r="P229" s="22"/>
      <c r="Q229" s="22"/>
      <c r="R229" s="71"/>
      <c r="AC229" s="22"/>
      <c r="AD229" s="22"/>
      <c r="AE229" s="22"/>
      <c r="AF229" s="22"/>
      <c r="AG229" s="22"/>
      <c r="AH229" s="22"/>
      <c r="AI229" s="22"/>
      <c r="AJ229" s="22"/>
      <c r="AK229" s="22"/>
      <c r="AL229" s="22"/>
      <c r="AM229" s="22"/>
      <c r="AN229" s="22"/>
      <c r="AO229" s="22"/>
      <c r="AP229" s="22"/>
      <c r="AQ229" s="22"/>
      <c r="AR229" s="22"/>
      <c r="AS229" s="22"/>
    </row>
    <row r="230" spans="1:45" x14ac:dyDescent="0.3">
      <c r="A230" s="22"/>
      <c r="B230" s="71"/>
      <c r="C230" s="22"/>
      <c r="D230" s="23"/>
      <c r="E230" s="22"/>
      <c r="F230" s="22"/>
      <c r="G230" s="22"/>
      <c r="H230" s="23"/>
      <c r="I230" s="22"/>
      <c r="J230" s="22"/>
      <c r="K230" s="22"/>
      <c r="L230" s="23"/>
      <c r="M230" s="71"/>
      <c r="N230" s="71"/>
      <c r="O230" s="22"/>
      <c r="P230" s="22"/>
      <c r="Q230" s="22"/>
      <c r="R230" s="71"/>
      <c r="AC230" s="22"/>
      <c r="AD230" s="22"/>
      <c r="AE230" s="22"/>
      <c r="AF230" s="22"/>
      <c r="AG230" s="22"/>
      <c r="AH230" s="22"/>
      <c r="AI230" s="22"/>
      <c r="AJ230" s="22"/>
      <c r="AK230" s="22"/>
      <c r="AL230" s="22"/>
      <c r="AM230" s="22"/>
      <c r="AN230" s="22"/>
      <c r="AO230" s="22"/>
      <c r="AP230" s="22"/>
      <c r="AQ230" s="22"/>
      <c r="AR230" s="22"/>
      <c r="AS230" s="22"/>
    </row>
    <row r="231" spans="1:45" x14ac:dyDescent="0.3">
      <c r="A231" s="22"/>
      <c r="B231" s="71"/>
      <c r="C231" s="22"/>
      <c r="D231" s="23"/>
      <c r="E231" s="22"/>
      <c r="F231" s="22"/>
      <c r="G231" s="22"/>
      <c r="H231" s="23"/>
      <c r="I231" s="22"/>
      <c r="J231" s="22"/>
      <c r="K231" s="22"/>
      <c r="L231" s="23"/>
      <c r="M231" s="71"/>
      <c r="N231" s="71"/>
      <c r="O231" s="22"/>
      <c r="P231" s="22"/>
      <c r="Q231" s="22"/>
      <c r="R231" s="71"/>
      <c r="AC231" s="22"/>
      <c r="AD231" s="22"/>
      <c r="AE231" s="22"/>
      <c r="AF231" s="22"/>
      <c r="AG231" s="22"/>
      <c r="AH231" s="22"/>
      <c r="AI231" s="22"/>
      <c r="AJ231" s="22"/>
      <c r="AK231" s="22"/>
      <c r="AL231" s="22"/>
      <c r="AM231" s="22"/>
      <c r="AN231" s="22"/>
      <c r="AO231" s="22"/>
      <c r="AP231" s="22"/>
      <c r="AQ231" s="22"/>
      <c r="AR231" s="22"/>
      <c r="AS231" s="22"/>
    </row>
    <row r="232" spans="1:45" x14ac:dyDescent="0.3">
      <c r="A232" s="22"/>
      <c r="B232" s="71"/>
      <c r="C232" s="22"/>
      <c r="D232" s="23"/>
      <c r="E232" s="22"/>
      <c r="F232" s="22"/>
      <c r="G232" s="22"/>
      <c r="H232" s="23"/>
      <c r="I232" s="22"/>
      <c r="J232" s="22"/>
      <c r="K232" s="22"/>
      <c r="L232" s="23"/>
      <c r="M232" s="71"/>
      <c r="N232" s="71"/>
      <c r="O232" s="22"/>
      <c r="P232" s="22"/>
      <c r="Q232" s="22"/>
      <c r="R232" s="71"/>
      <c r="AC232" s="22"/>
      <c r="AD232" s="22"/>
      <c r="AE232" s="22"/>
      <c r="AF232" s="22"/>
      <c r="AG232" s="22"/>
      <c r="AH232" s="22"/>
      <c r="AI232" s="22"/>
      <c r="AJ232" s="22"/>
      <c r="AK232" s="22"/>
      <c r="AL232" s="22"/>
      <c r="AM232" s="22"/>
      <c r="AN232" s="22"/>
      <c r="AO232" s="22"/>
      <c r="AP232" s="22"/>
      <c r="AQ232" s="22"/>
      <c r="AR232" s="22"/>
      <c r="AS232" s="22"/>
    </row>
    <row r="233" spans="1:45" x14ac:dyDescent="0.3">
      <c r="A233" s="22"/>
      <c r="B233" s="71"/>
      <c r="C233" s="22"/>
      <c r="D233" s="23"/>
      <c r="E233" s="22"/>
      <c r="F233" s="22"/>
      <c r="G233" s="22"/>
      <c r="H233" s="23"/>
      <c r="I233" s="22"/>
      <c r="J233" s="22"/>
      <c r="K233" s="22"/>
      <c r="L233" s="23"/>
      <c r="M233" s="71"/>
      <c r="N233" s="71"/>
      <c r="O233" s="22"/>
      <c r="P233" s="22"/>
      <c r="Q233" s="22"/>
      <c r="R233" s="71"/>
      <c r="AC233" s="22"/>
      <c r="AD233" s="22"/>
      <c r="AE233" s="22"/>
      <c r="AF233" s="22"/>
      <c r="AG233" s="22"/>
      <c r="AH233" s="22"/>
      <c r="AI233" s="22"/>
      <c r="AJ233" s="22"/>
      <c r="AK233" s="22"/>
      <c r="AL233" s="22"/>
      <c r="AM233" s="22"/>
      <c r="AN233" s="22"/>
      <c r="AO233" s="22"/>
      <c r="AP233" s="22"/>
      <c r="AQ233" s="22"/>
      <c r="AR233" s="22"/>
      <c r="AS233" s="22"/>
    </row>
    <row r="234" spans="1:45" x14ac:dyDescent="0.3">
      <c r="A234" s="22"/>
      <c r="B234" s="71"/>
      <c r="C234" s="22"/>
      <c r="D234" s="23"/>
      <c r="E234" s="22"/>
      <c r="F234" s="22"/>
      <c r="G234" s="22"/>
      <c r="H234" s="23"/>
      <c r="I234" s="22"/>
      <c r="J234" s="22"/>
      <c r="K234" s="22"/>
      <c r="L234" s="23"/>
      <c r="M234" s="71"/>
      <c r="N234" s="71"/>
      <c r="O234" s="22"/>
      <c r="P234" s="22"/>
      <c r="Q234" s="22"/>
      <c r="R234" s="71"/>
      <c r="AC234" s="22"/>
      <c r="AD234" s="22"/>
      <c r="AE234" s="22"/>
      <c r="AF234" s="22"/>
      <c r="AG234" s="22"/>
      <c r="AH234" s="22"/>
      <c r="AI234" s="22"/>
      <c r="AJ234" s="22"/>
      <c r="AK234" s="22"/>
      <c r="AL234" s="22"/>
      <c r="AM234" s="22"/>
      <c r="AN234" s="22"/>
      <c r="AO234" s="22"/>
      <c r="AP234" s="22"/>
      <c r="AQ234" s="22"/>
      <c r="AR234" s="22"/>
      <c r="AS234" s="22"/>
    </row>
    <row r="235" spans="1:45" x14ac:dyDescent="0.3">
      <c r="A235" s="22"/>
      <c r="B235" s="71"/>
      <c r="C235" s="22"/>
      <c r="D235" s="23"/>
      <c r="E235" s="22"/>
      <c r="F235" s="22"/>
      <c r="G235" s="22"/>
      <c r="H235" s="23"/>
      <c r="I235" s="22"/>
      <c r="J235" s="22"/>
      <c r="K235" s="22"/>
      <c r="L235" s="23"/>
      <c r="M235" s="71"/>
      <c r="N235" s="71"/>
      <c r="O235" s="22"/>
      <c r="P235" s="22"/>
      <c r="Q235" s="22"/>
      <c r="R235" s="71"/>
      <c r="AC235" s="22"/>
      <c r="AD235" s="22"/>
      <c r="AE235" s="22"/>
      <c r="AF235" s="22"/>
      <c r="AG235" s="22"/>
      <c r="AH235" s="22"/>
      <c r="AI235" s="22"/>
      <c r="AJ235" s="22"/>
      <c r="AK235" s="22"/>
      <c r="AL235" s="22"/>
      <c r="AM235" s="22"/>
      <c r="AN235" s="22"/>
      <c r="AO235" s="22"/>
      <c r="AP235" s="22"/>
      <c r="AQ235" s="22"/>
      <c r="AR235" s="22"/>
      <c r="AS235" s="22"/>
    </row>
    <row r="236" spans="1:45" x14ac:dyDescent="0.3">
      <c r="A236" s="22"/>
      <c r="B236" s="71"/>
      <c r="C236" s="22"/>
      <c r="D236" s="23"/>
      <c r="E236" s="22"/>
      <c r="F236" s="22"/>
      <c r="G236" s="22"/>
      <c r="H236" s="23"/>
      <c r="I236" s="22"/>
      <c r="J236" s="22"/>
      <c r="K236" s="22"/>
      <c r="L236" s="23"/>
      <c r="M236" s="71"/>
      <c r="N236" s="71"/>
      <c r="O236" s="22"/>
      <c r="P236" s="22"/>
      <c r="Q236" s="22"/>
      <c r="R236" s="71"/>
      <c r="AC236" s="22"/>
      <c r="AD236" s="22"/>
      <c r="AE236" s="22"/>
      <c r="AF236" s="22"/>
      <c r="AG236" s="22"/>
      <c r="AH236" s="22"/>
      <c r="AI236" s="22"/>
      <c r="AJ236" s="22"/>
      <c r="AK236" s="22"/>
      <c r="AL236" s="22"/>
      <c r="AM236" s="22"/>
      <c r="AN236" s="22"/>
      <c r="AO236" s="22"/>
      <c r="AP236" s="22"/>
      <c r="AQ236" s="22"/>
      <c r="AR236" s="22"/>
      <c r="AS236" s="22"/>
    </row>
    <row r="237" spans="1:45" x14ac:dyDescent="0.3">
      <c r="A237" s="22"/>
      <c r="B237" s="71"/>
      <c r="C237" s="22"/>
      <c r="D237" s="23"/>
      <c r="E237" s="22"/>
      <c r="F237" s="22"/>
      <c r="G237" s="22"/>
      <c r="H237" s="23"/>
      <c r="I237" s="22"/>
      <c r="J237" s="22"/>
      <c r="K237" s="22"/>
      <c r="L237" s="23"/>
      <c r="M237" s="71"/>
      <c r="N237" s="71"/>
      <c r="O237" s="22"/>
      <c r="P237" s="22"/>
      <c r="Q237" s="22"/>
      <c r="R237" s="71"/>
      <c r="AC237" s="22"/>
      <c r="AD237" s="22"/>
      <c r="AE237" s="22"/>
      <c r="AF237" s="22"/>
      <c r="AG237" s="22"/>
      <c r="AH237" s="22"/>
      <c r="AI237" s="22"/>
      <c r="AJ237" s="22"/>
      <c r="AK237" s="22"/>
      <c r="AL237" s="22"/>
      <c r="AM237" s="22"/>
      <c r="AN237" s="22"/>
      <c r="AO237" s="22"/>
      <c r="AP237" s="22"/>
      <c r="AQ237" s="22"/>
      <c r="AR237" s="22"/>
      <c r="AS237" s="22"/>
    </row>
    <row r="238" spans="1:45" x14ac:dyDescent="0.3">
      <c r="A238" s="22"/>
      <c r="B238" s="71"/>
      <c r="C238" s="22"/>
      <c r="D238" s="23"/>
      <c r="E238" s="22"/>
      <c r="F238" s="22"/>
      <c r="G238" s="22"/>
      <c r="H238" s="23"/>
      <c r="I238" s="22"/>
      <c r="J238" s="22"/>
      <c r="K238" s="22"/>
      <c r="L238" s="23"/>
      <c r="M238" s="71"/>
      <c r="N238" s="71"/>
      <c r="O238" s="22"/>
      <c r="P238" s="22"/>
      <c r="Q238" s="22"/>
      <c r="R238" s="71"/>
      <c r="AC238" s="22"/>
      <c r="AD238" s="22"/>
      <c r="AE238" s="22"/>
      <c r="AF238" s="22"/>
      <c r="AG238" s="22"/>
      <c r="AH238" s="22"/>
      <c r="AI238" s="22"/>
      <c r="AJ238" s="22"/>
      <c r="AK238" s="22"/>
      <c r="AL238" s="22"/>
      <c r="AM238" s="22"/>
      <c r="AN238" s="22"/>
      <c r="AO238" s="22"/>
      <c r="AP238" s="22"/>
      <c r="AQ238" s="22"/>
      <c r="AR238" s="22"/>
      <c r="AS238" s="22"/>
    </row>
    <row r="239" spans="1:45" x14ac:dyDescent="0.3">
      <c r="A239" s="22"/>
      <c r="B239" s="71"/>
      <c r="C239" s="22"/>
      <c r="D239" s="23"/>
      <c r="E239" s="22"/>
      <c r="F239" s="22"/>
      <c r="G239" s="22"/>
      <c r="H239" s="23"/>
      <c r="I239" s="22"/>
      <c r="J239" s="22"/>
      <c r="K239" s="22"/>
      <c r="L239" s="23"/>
      <c r="M239" s="71"/>
      <c r="N239" s="71"/>
      <c r="O239" s="22"/>
      <c r="P239" s="22"/>
      <c r="Q239" s="22"/>
      <c r="R239" s="71"/>
      <c r="AC239" s="22"/>
      <c r="AD239" s="22"/>
      <c r="AE239" s="22"/>
      <c r="AF239" s="22"/>
      <c r="AG239" s="22"/>
      <c r="AH239" s="22"/>
      <c r="AI239" s="22"/>
      <c r="AJ239" s="22"/>
      <c r="AK239" s="22"/>
      <c r="AL239" s="22"/>
      <c r="AM239" s="22"/>
      <c r="AN239" s="22"/>
      <c r="AO239" s="22"/>
      <c r="AP239" s="22"/>
      <c r="AQ239" s="22"/>
      <c r="AR239" s="22"/>
      <c r="AS239" s="22"/>
    </row>
    <row r="240" spans="1:45" x14ac:dyDescent="0.3">
      <c r="A240" s="22"/>
      <c r="B240" s="71"/>
      <c r="C240" s="22"/>
      <c r="D240" s="23"/>
      <c r="E240" s="22"/>
      <c r="F240" s="22"/>
      <c r="G240" s="22"/>
      <c r="H240" s="23"/>
      <c r="I240" s="22"/>
      <c r="J240" s="22"/>
      <c r="K240" s="22"/>
      <c r="L240" s="23"/>
      <c r="M240" s="71"/>
      <c r="N240" s="71"/>
      <c r="O240" s="22"/>
      <c r="P240" s="22"/>
      <c r="Q240" s="22"/>
      <c r="R240" s="71"/>
      <c r="AC240" s="22"/>
      <c r="AD240" s="22"/>
      <c r="AE240" s="22"/>
      <c r="AF240" s="22"/>
      <c r="AG240" s="22"/>
      <c r="AH240" s="22"/>
      <c r="AI240" s="22"/>
      <c r="AJ240" s="22"/>
      <c r="AK240" s="22"/>
      <c r="AL240" s="22"/>
      <c r="AM240" s="22"/>
      <c r="AN240" s="22"/>
      <c r="AO240" s="22"/>
      <c r="AP240" s="22"/>
      <c r="AQ240" s="22"/>
      <c r="AR240" s="22"/>
      <c r="AS240" s="22"/>
    </row>
    <row r="241" spans="1:45" x14ac:dyDescent="0.3">
      <c r="A241" s="22"/>
      <c r="B241" s="71"/>
      <c r="C241" s="22"/>
      <c r="D241" s="23"/>
      <c r="E241" s="22"/>
      <c r="F241" s="22"/>
      <c r="G241" s="22"/>
      <c r="H241" s="23"/>
      <c r="I241" s="22"/>
      <c r="J241" s="22"/>
      <c r="K241" s="22"/>
      <c r="L241" s="23"/>
      <c r="M241" s="71"/>
      <c r="N241" s="71"/>
      <c r="O241" s="22"/>
      <c r="P241" s="22"/>
      <c r="Q241" s="22"/>
      <c r="R241" s="71"/>
      <c r="AC241" s="22"/>
      <c r="AD241" s="22"/>
      <c r="AE241" s="22"/>
      <c r="AF241" s="22"/>
      <c r="AG241" s="22"/>
      <c r="AH241" s="22"/>
      <c r="AI241" s="22"/>
      <c r="AJ241" s="22"/>
      <c r="AK241" s="22"/>
      <c r="AL241" s="22"/>
      <c r="AM241" s="22"/>
      <c r="AN241" s="22"/>
      <c r="AO241" s="22"/>
      <c r="AP241" s="22"/>
      <c r="AQ241" s="22"/>
      <c r="AR241" s="22"/>
      <c r="AS241" s="22"/>
    </row>
    <row r="242" spans="1:45" x14ac:dyDescent="0.3">
      <c r="A242" s="22"/>
      <c r="B242" s="71"/>
      <c r="C242" s="22"/>
      <c r="D242" s="23"/>
      <c r="E242" s="22"/>
      <c r="F242" s="22"/>
      <c r="G242" s="22"/>
      <c r="H242" s="23"/>
      <c r="I242" s="22"/>
      <c r="J242" s="22"/>
      <c r="K242" s="22"/>
      <c r="L242" s="23"/>
      <c r="M242" s="71"/>
      <c r="N242" s="71"/>
      <c r="O242" s="22"/>
      <c r="P242" s="22"/>
      <c r="Q242" s="22"/>
      <c r="R242" s="71"/>
      <c r="AC242" s="22"/>
      <c r="AD242" s="22"/>
      <c r="AE242" s="22"/>
      <c r="AF242" s="22"/>
      <c r="AG242" s="22"/>
      <c r="AH242" s="22"/>
      <c r="AI242" s="22"/>
      <c r="AJ242" s="22"/>
      <c r="AK242" s="22"/>
      <c r="AL242" s="22"/>
      <c r="AM242" s="22"/>
      <c r="AN242" s="22"/>
      <c r="AO242" s="22"/>
      <c r="AP242" s="22"/>
      <c r="AQ242" s="22"/>
      <c r="AR242" s="22"/>
      <c r="AS242" s="22"/>
    </row>
    <row r="243" spans="1:45" x14ac:dyDescent="0.3">
      <c r="A243" s="22"/>
      <c r="B243" s="71"/>
      <c r="C243" s="22"/>
      <c r="D243" s="23"/>
      <c r="E243" s="22"/>
      <c r="F243" s="22"/>
      <c r="G243" s="22"/>
      <c r="H243" s="23"/>
      <c r="I243" s="22"/>
      <c r="J243" s="22"/>
      <c r="K243" s="22"/>
      <c r="L243" s="23"/>
      <c r="M243" s="71"/>
      <c r="N243" s="71"/>
      <c r="O243" s="22"/>
      <c r="P243" s="22"/>
      <c r="Q243" s="22"/>
      <c r="R243" s="71"/>
      <c r="AC243" s="22"/>
      <c r="AD243" s="22"/>
      <c r="AE243" s="22"/>
      <c r="AF243" s="22"/>
      <c r="AG243" s="22"/>
      <c r="AH243" s="22"/>
      <c r="AI243" s="22"/>
      <c r="AJ243" s="22"/>
      <c r="AK243" s="22"/>
      <c r="AL243" s="22"/>
      <c r="AM243" s="22"/>
      <c r="AN243" s="22"/>
      <c r="AO243" s="22"/>
      <c r="AP243" s="22"/>
      <c r="AQ243" s="22"/>
      <c r="AR243" s="22"/>
      <c r="AS243" s="22"/>
    </row>
    <row r="244" spans="1:45" x14ac:dyDescent="0.3">
      <c r="A244" s="22"/>
      <c r="B244" s="71"/>
      <c r="C244" s="22"/>
      <c r="D244" s="23"/>
      <c r="E244" s="22"/>
      <c r="F244" s="22"/>
      <c r="G244" s="22"/>
      <c r="H244" s="23"/>
      <c r="I244" s="22"/>
      <c r="J244" s="22"/>
      <c r="K244" s="22"/>
      <c r="L244" s="23"/>
      <c r="M244" s="71"/>
      <c r="N244" s="71"/>
      <c r="O244" s="22"/>
      <c r="P244" s="22"/>
      <c r="Q244" s="22"/>
      <c r="R244" s="71"/>
      <c r="AC244" s="22"/>
      <c r="AD244" s="22"/>
      <c r="AE244" s="22"/>
      <c r="AF244" s="22"/>
      <c r="AG244" s="22"/>
      <c r="AH244" s="22"/>
      <c r="AI244" s="22"/>
      <c r="AJ244" s="22"/>
      <c r="AK244" s="22"/>
      <c r="AL244" s="22"/>
      <c r="AM244" s="22"/>
      <c r="AN244" s="22"/>
      <c r="AO244" s="22"/>
      <c r="AP244" s="22"/>
      <c r="AQ244" s="22"/>
      <c r="AR244" s="22"/>
      <c r="AS244" s="22"/>
    </row>
    <row r="245" spans="1:45" x14ac:dyDescent="0.3">
      <c r="A245" s="22"/>
      <c r="B245" s="71"/>
      <c r="C245" s="22"/>
      <c r="D245" s="23"/>
      <c r="E245" s="22"/>
      <c r="F245" s="22"/>
      <c r="G245" s="22"/>
      <c r="H245" s="23"/>
      <c r="I245" s="22"/>
      <c r="J245" s="22"/>
      <c r="K245" s="22"/>
      <c r="L245" s="23"/>
      <c r="M245" s="71"/>
      <c r="N245" s="71"/>
      <c r="O245" s="22"/>
      <c r="P245" s="22"/>
      <c r="Q245" s="22"/>
      <c r="R245" s="71"/>
      <c r="AC245" s="22"/>
      <c r="AD245" s="22"/>
      <c r="AE245" s="22"/>
      <c r="AF245" s="22"/>
      <c r="AG245" s="22"/>
      <c r="AH245" s="22"/>
      <c r="AI245" s="22"/>
      <c r="AJ245" s="22"/>
      <c r="AK245" s="22"/>
      <c r="AL245" s="22"/>
      <c r="AM245" s="22"/>
      <c r="AN245" s="22"/>
      <c r="AO245" s="22"/>
      <c r="AP245" s="22"/>
      <c r="AQ245" s="22"/>
      <c r="AR245" s="22"/>
      <c r="AS245" s="22"/>
    </row>
    <row r="246" spans="1:45" x14ac:dyDescent="0.3">
      <c r="A246" s="22"/>
      <c r="B246" s="71"/>
      <c r="C246" s="22"/>
      <c r="D246" s="23"/>
      <c r="E246" s="22"/>
      <c r="F246" s="22"/>
      <c r="G246" s="22"/>
      <c r="H246" s="23"/>
      <c r="I246" s="22"/>
      <c r="J246" s="22"/>
      <c r="K246" s="22"/>
      <c r="L246" s="23"/>
      <c r="M246" s="71"/>
      <c r="N246" s="71"/>
      <c r="O246" s="22"/>
      <c r="P246" s="22"/>
      <c r="Q246" s="22"/>
      <c r="R246" s="71"/>
      <c r="AC246" s="22"/>
      <c r="AD246" s="22"/>
      <c r="AE246" s="22"/>
      <c r="AF246" s="22"/>
      <c r="AG246" s="22"/>
      <c r="AH246" s="22"/>
      <c r="AI246" s="22"/>
      <c r="AJ246" s="22"/>
      <c r="AK246" s="22"/>
      <c r="AL246" s="22"/>
      <c r="AM246" s="22"/>
      <c r="AN246" s="22"/>
      <c r="AO246" s="22"/>
      <c r="AP246" s="22"/>
      <c r="AQ246" s="22"/>
      <c r="AR246" s="22"/>
      <c r="AS246" s="22"/>
    </row>
    <row r="247" spans="1:45" x14ac:dyDescent="0.3">
      <c r="A247" s="22"/>
      <c r="B247" s="71"/>
      <c r="C247" s="22"/>
      <c r="D247" s="23"/>
      <c r="E247" s="22"/>
      <c r="F247" s="22"/>
      <c r="G247" s="22"/>
      <c r="H247" s="23"/>
      <c r="I247" s="22"/>
      <c r="J247" s="22"/>
      <c r="K247" s="22"/>
      <c r="L247" s="23"/>
      <c r="M247" s="71"/>
      <c r="N247" s="71"/>
      <c r="O247" s="22"/>
      <c r="P247" s="22"/>
      <c r="Q247" s="22"/>
      <c r="R247" s="71"/>
      <c r="AC247" s="22"/>
      <c r="AD247" s="22"/>
      <c r="AE247" s="22"/>
      <c r="AF247" s="22"/>
      <c r="AG247" s="22"/>
      <c r="AH247" s="22"/>
      <c r="AI247" s="22"/>
      <c r="AJ247" s="22"/>
      <c r="AK247" s="22"/>
      <c r="AL247" s="22"/>
      <c r="AM247" s="22"/>
      <c r="AN247" s="22"/>
      <c r="AO247" s="22"/>
      <c r="AP247" s="22"/>
      <c r="AQ247" s="22"/>
      <c r="AR247" s="22"/>
      <c r="AS247" s="22"/>
    </row>
    <row r="248" spans="1:45" x14ac:dyDescent="0.3">
      <c r="A248" s="22"/>
      <c r="B248" s="71"/>
      <c r="C248" s="22"/>
      <c r="D248" s="23"/>
      <c r="E248" s="22"/>
      <c r="F248" s="22"/>
      <c r="G248" s="22"/>
      <c r="H248" s="23"/>
      <c r="I248" s="22"/>
      <c r="J248" s="22"/>
      <c r="K248" s="22"/>
      <c r="L248" s="23"/>
      <c r="M248" s="71"/>
      <c r="N248" s="71"/>
      <c r="O248" s="22"/>
      <c r="P248" s="22"/>
      <c r="Q248" s="22"/>
      <c r="R248" s="71"/>
      <c r="AC248" s="22"/>
      <c r="AD248" s="22"/>
      <c r="AE248" s="22"/>
      <c r="AF248" s="22"/>
      <c r="AG248" s="22"/>
      <c r="AH248" s="22"/>
      <c r="AI248" s="22"/>
      <c r="AJ248" s="22"/>
      <c r="AK248" s="22"/>
      <c r="AL248" s="22"/>
      <c r="AM248" s="22"/>
      <c r="AN248" s="22"/>
      <c r="AO248" s="22"/>
      <c r="AP248" s="22"/>
      <c r="AQ248" s="22"/>
      <c r="AR248" s="22"/>
      <c r="AS248" s="22"/>
    </row>
    <row r="249" spans="1:45" x14ac:dyDescent="0.3">
      <c r="A249" s="22"/>
      <c r="B249" s="71"/>
      <c r="C249" s="22"/>
      <c r="D249" s="23"/>
      <c r="E249" s="22"/>
      <c r="F249" s="22"/>
      <c r="G249" s="22"/>
      <c r="H249" s="23"/>
      <c r="I249" s="22"/>
      <c r="J249" s="22"/>
      <c r="K249" s="22"/>
      <c r="L249" s="23"/>
      <c r="M249" s="71"/>
      <c r="N249" s="71"/>
      <c r="O249" s="22"/>
      <c r="P249" s="22"/>
      <c r="Q249" s="22"/>
      <c r="R249" s="71"/>
      <c r="AC249" s="22"/>
      <c r="AD249" s="22"/>
      <c r="AE249" s="22"/>
      <c r="AF249" s="22"/>
      <c r="AG249" s="22"/>
      <c r="AH249" s="22"/>
      <c r="AI249" s="22"/>
      <c r="AJ249" s="22"/>
      <c r="AK249" s="22"/>
      <c r="AL249" s="22"/>
      <c r="AM249" s="22"/>
      <c r="AN249" s="22"/>
      <c r="AO249" s="22"/>
      <c r="AP249" s="22"/>
      <c r="AQ249" s="22"/>
      <c r="AR249" s="22"/>
      <c r="AS249" s="22"/>
    </row>
    <row r="250" spans="1:45" x14ac:dyDescent="0.3">
      <c r="A250" s="22"/>
      <c r="B250" s="71"/>
      <c r="C250" s="22"/>
      <c r="D250" s="23"/>
      <c r="E250" s="22"/>
      <c r="F250" s="22"/>
      <c r="G250" s="22"/>
      <c r="H250" s="23"/>
      <c r="I250" s="22"/>
      <c r="J250" s="22"/>
      <c r="K250" s="22"/>
      <c r="L250" s="23"/>
      <c r="M250" s="71"/>
      <c r="N250" s="71"/>
      <c r="O250" s="22"/>
      <c r="P250" s="22"/>
      <c r="Q250" s="22"/>
      <c r="R250" s="71"/>
      <c r="AC250" s="22"/>
      <c r="AD250" s="22"/>
      <c r="AE250" s="22"/>
      <c r="AF250" s="22"/>
      <c r="AG250" s="22"/>
      <c r="AH250" s="22"/>
      <c r="AI250" s="22"/>
      <c r="AJ250" s="22"/>
      <c r="AK250" s="22"/>
      <c r="AL250" s="22"/>
      <c r="AM250" s="22"/>
      <c r="AN250" s="22"/>
      <c r="AO250" s="22"/>
      <c r="AP250" s="22"/>
      <c r="AQ250" s="22"/>
      <c r="AR250" s="22"/>
      <c r="AS250" s="22"/>
    </row>
    <row r="251" spans="1:45" x14ac:dyDescent="0.3">
      <c r="A251" s="22"/>
      <c r="B251" s="71"/>
      <c r="C251" s="22"/>
      <c r="D251" s="23"/>
      <c r="E251" s="22"/>
      <c r="F251" s="22"/>
      <c r="G251" s="22"/>
      <c r="H251" s="23"/>
      <c r="I251" s="22"/>
      <c r="J251" s="22"/>
      <c r="K251" s="22"/>
      <c r="L251" s="23"/>
      <c r="M251" s="71"/>
      <c r="N251" s="71"/>
      <c r="O251" s="22"/>
      <c r="P251" s="22"/>
      <c r="Q251" s="22"/>
      <c r="R251" s="71"/>
      <c r="AC251" s="22"/>
      <c r="AD251" s="22"/>
      <c r="AE251" s="22"/>
      <c r="AF251" s="22"/>
      <c r="AG251" s="22"/>
      <c r="AH251" s="22"/>
      <c r="AI251" s="22"/>
      <c r="AJ251" s="22"/>
      <c r="AK251" s="22"/>
      <c r="AL251" s="22"/>
      <c r="AM251" s="22"/>
      <c r="AN251" s="22"/>
      <c r="AO251" s="22"/>
      <c r="AP251" s="22"/>
      <c r="AQ251" s="22"/>
      <c r="AR251" s="22"/>
      <c r="AS251" s="22"/>
    </row>
    <row r="252" spans="1:45" x14ac:dyDescent="0.3">
      <c r="A252" s="22"/>
      <c r="B252" s="71"/>
      <c r="C252" s="22"/>
      <c r="D252" s="23"/>
      <c r="E252" s="22"/>
      <c r="F252" s="22"/>
      <c r="G252" s="22"/>
      <c r="H252" s="23"/>
      <c r="I252" s="22"/>
      <c r="J252" s="22"/>
      <c r="K252" s="22"/>
      <c r="L252" s="23"/>
      <c r="M252" s="71"/>
      <c r="N252" s="71"/>
      <c r="O252" s="22"/>
      <c r="P252" s="22"/>
      <c r="Q252" s="22"/>
      <c r="R252" s="71"/>
      <c r="AC252" s="22"/>
      <c r="AD252" s="22"/>
      <c r="AE252" s="22"/>
      <c r="AF252" s="22"/>
      <c r="AG252" s="22"/>
      <c r="AH252" s="22"/>
      <c r="AI252" s="22"/>
      <c r="AJ252" s="22"/>
      <c r="AK252" s="22"/>
      <c r="AL252" s="22"/>
      <c r="AM252" s="22"/>
      <c r="AN252" s="22"/>
      <c r="AO252" s="22"/>
      <c r="AP252" s="22"/>
      <c r="AQ252" s="22"/>
      <c r="AR252" s="22"/>
      <c r="AS252" s="22"/>
    </row>
    <row r="253" spans="1:45" x14ac:dyDescent="0.3">
      <c r="A253" s="22"/>
      <c r="B253" s="71"/>
      <c r="C253" s="22"/>
      <c r="D253" s="23"/>
      <c r="E253" s="22"/>
      <c r="F253" s="22"/>
      <c r="G253" s="22"/>
      <c r="H253" s="23"/>
      <c r="I253" s="22"/>
      <c r="J253" s="22"/>
      <c r="K253" s="22"/>
      <c r="L253" s="23"/>
      <c r="M253" s="71"/>
      <c r="N253" s="71"/>
      <c r="O253" s="22"/>
      <c r="P253" s="22"/>
      <c r="Q253" s="22"/>
      <c r="R253" s="71"/>
      <c r="AC253" s="22"/>
      <c r="AD253" s="22"/>
      <c r="AE253" s="22"/>
      <c r="AF253" s="22"/>
      <c r="AG253" s="22"/>
      <c r="AH253" s="22"/>
      <c r="AI253" s="22"/>
      <c r="AJ253" s="22"/>
      <c r="AK253" s="22"/>
      <c r="AL253" s="22"/>
      <c r="AM253" s="22"/>
      <c r="AN253" s="22"/>
      <c r="AO253" s="22"/>
      <c r="AP253" s="22"/>
      <c r="AQ253" s="22"/>
      <c r="AR253" s="22"/>
      <c r="AS253" s="22"/>
    </row>
    <row r="254" spans="1:45" x14ac:dyDescent="0.3">
      <c r="A254" s="22"/>
      <c r="B254" s="71"/>
      <c r="C254" s="22"/>
      <c r="D254" s="23"/>
      <c r="E254" s="22"/>
      <c r="F254" s="22"/>
      <c r="G254" s="22"/>
      <c r="H254" s="23"/>
      <c r="I254" s="22"/>
      <c r="J254" s="22"/>
      <c r="K254" s="22"/>
      <c r="L254" s="23"/>
      <c r="M254" s="71"/>
      <c r="N254" s="71"/>
      <c r="O254" s="22"/>
      <c r="P254" s="22"/>
      <c r="Q254" s="22"/>
      <c r="R254" s="71"/>
      <c r="AC254" s="22"/>
      <c r="AD254" s="22"/>
      <c r="AE254" s="22"/>
      <c r="AF254" s="22"/>
      <c r="AG254" s="22"/>
      <c r="AH254" s="22"/>
      <c r="AI254" s="22"/>
      <c r="AJ254" s="22"/>
      <c r="AK254" s="22"/>
      <c r="AL254" s="22"/>
      <c r="AM254" s="22"/>
      <c r="AN254" s="22"/>
      <c r="AO254" s="22"/>
      <c r="AP254" s="22"/>
      <c r="AQ254" s="22"/>
      <c r="AR254" s="22"/>
      <c r="AS254" s="22"/>
    </row>
  </sheetData>
  <sheetProtection algorithmName="SHA-512" hashValue="RruZBF3E8aDDCGnbR5k8yZDwILKtdqnDZbKDU6V1Wf+0Lt7wzlhGHpqDHPyt7vWx1zAiehmg8fxGDGAD2GBIQw==" saltValue="wmU+4T08fS2oM4QYo8ez+g=="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33:J35 C36:L50">
    <cfRule type="expression" dxfId="74" priority="5">
      <formula>INDEX(Status_Systeme,$A$2)=TRUE</formula>
    </cfRule>
  </conditionalFormatting>
  <conditionalFormatting sqref="C33:J35">
    <cfRule type="expression" dxfId="73" priority="4">
      <formula>AND(INDEX(Status_Systeme,$A$2)=TRUE,C33&lt;&gt;"")</formula>
    </cfRule>
    <cfRule type="expression" dxfId="72" priority="11">
      <formula>AND(INDEX(Status_Systeme,$A$2)=FALSE,C33="",$S33&gt;0,$S33&lt;3)</formula>
    </cfRule>
    <cfRule type="expression" dxfId="71" priority="14">
      <formula>AND(INDEX(Status_Systeme,$A$2)=FALSE,$S33=0)</formula>
    </cfRule>
  </conditionalFormatting>
  <conditionalFormatting sqref="C2:L6">
    <cfRule type="iconSet" priority="17">
      <iconSet iconSet="3Symbols" showValue="0">
        <cfvo type="percent" val="0"/>
        <cfvo type="num" val="1"/>
        <cfvo type="num" val="2"/>
      </iconSet>
    </cfRule>
  </conditionalFormatting>
  <conditionalFormatting sqref="C18:L32">
    <cfRule type="expression" dxfId="70" priority="2">
      <formula>INDEX(Status_Systeme,$A$2)=TRUE</formula>
    </cfRule>
  </conditionalFormatting>
  <conditionalFormatting sqref="C48:L50">
    <cfRule type="expression" dxfId="69" priority="10">
      <formula>EA_PV_Status=FALSE</formula>
    </cfRule>
  </conditionalFormatting>
  <conditionalFormatting sqref="G20:I31">
    <cfRule type="expression" dxfId="68" priority="12">
      <formula>AND(O20&lt;&gt;"",S20=FALSE)</formula>
    </cfRule>
    <cfRule type="expression" dxfId="67" priority="15">
      <formula>AND(INDEX(Status_Systeme,$A$2)=FALSE,G20="",S20=TRUE)</formula>
    </cfRule>
  </conditionalFormatting>
  <conditionalFormatting sqref="G20:I35 C33:F35 J33:J35">
    <cfRule type="expression" dxfId="66" priority="13">
      <formula>C20&lt;&gt;""</formula>
    </cfRule>
  </conditionalFormatting>
  <conditionalFormatting sqref="G44:I44">
    <cfRule type="expression" dxfId="65" priority="9">
      <formula>Basis_mod_HWB=TRUE</formula>
    </cfRule>
  </conditionalFormatting>
  <conditionalFormatting sqref="G45:I45">
    <cfRule type="expression" dxfId="64" priority="6">
      <formula>Basis_mod_WWWB=TRUE</formula>
    </cfRule>
  </conditionalFormatting>
  <conditionalFormatting sqref="J40">
    <cfRule type="expression" dxfId="63" priority="16">
      <formula>Basis_mod_Betrieb=TRUE</formula>
    </cfRule>
  </conditionalFormatting>
  <conditionalFormatting sqref="J44:J45">
    <cfRule type="expression" dxfId="62" priority="8">
      <formula>Basis_mod_Energiekosten=TRUE</formula>
    </cfRule>
  </conditionalFormatting>
  <conditionalFormatting sqref="J49:J50">
    <cfRule type="expression" dxfId="61" priority="7">
      <formula>Basis_mod_Energiekosten=TRUE</formula>
    </cfRule>
  </conditionalFormatting>
  <conditionalFormatting sqref="K33:L35">
    <cfRule type="expression" dxfId="60" priority="1">
      <formula>INDEX(Status_Systeme,$A$2)=TRUE</formula>
    </cfRule>
  </conditionalFormatting>
  <dataValidations count="3">
    <dataValidation operator="greaterThan" allowBlank="1" showInputMessage="1" showErrorMessage="1" sqref="J40" xr:uid="{00000000-0002-0000-0400-000000000000}"/>
    <dataValidation type="whole" operator="greaterThan" allowBlank="1" showInputMessage="1" showErrorMessage="1" errorTitle="Ungültige Eingabe" error="Bitte geben Sie einen Betrag größer als 0 an." sqref="G20:I23 G25:I31 G33:I35" xr:uid="{00000000-0002-0000-0400-000001000000}">
      <formula1>0</formula1>
    </dataValidation>
    <dataValidation type="whole" allowBlank="1" showInputMessage="1" showErrorMessage="1" sqref="A10" xr:uid="{00000000-0002-0000-0400-00000200000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400-000003000000}">
          <x14:formula1>
            <xm:f>Auswahl!$E$3</xm:f>
          </x14:formula1>
          <x14:formula2>
            <xm:f>Auswahl!$E$4</xm:f>
          </x14:formula2>
          <xm:sqref>J33:J35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3">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74" customWidth="1"/>
    <col min="14" max="14" width="2.5703125" style="74" customWidth="1"/>
    <col min="15" max="15" width="26" style="20" customWidth="1"/>
    <col min="16" max="16" width="16.7109375" style="20" customWidth="1"/>
    <col min="17" max="17" width="30" style="20" customWidth="1"/>
    <col min="18" max="18" width="11.42578125" style="74"/>
    <col min="19" max="26" width="11.42578125" style="74" hidden="1" customWidth="1"/>
    <col min="27" max="28" width="11.42578125" style="74" customWidth="1"/>
    <col min="29" max="16384" width="11.42578125" style="20"/>
  </cols>
  <sheetData>
    <row r="1" spans="1:45" x14ac:dyDescent="0.3">
      <c r="A1" s="22"/>
      <c r="B1" s="71"/>
      <c r="C1" s="22"/>
      <c r="D1" s="23"/>
      <c r="E1" s="22"/>
      <c r="F1" s="22"/>
      <c r="G1" s="22"/>
      <c r="H1" s="23"/>
      <c r="I1" s="22"/>
      <c r="J1" s="22"/>
      <c r="K1" s="22"/>
      <c r="L1" s="23"/>
      <c r="M1" s="71"/>
      <c r="N1" s="71"/>
      <c r="O1" s="22"/>
      <c r="P1" s="22"/>
      <c r="Q1" s="22"/>
      <c r="R1" s="71"/>
      <c r="S1" s="71"/>
      <c r="T1" s="71"/>
      <c r="U1" s="71"/>
      <c r="V1" s="71"/>
      <c r="W1" s="71"/>
      <c r="X1" s="71"/>
      <c r="Y1" s="71"/>
      <c r="Z1" s="71"/>
      <c r="AA1" s="71"/>
      <c r="AB1" s="71"/>
      <c r="AC1" s="22"/>
      <c r="AD1" s="22"/>
      <c r="AE1" s="22"/>
      <c r="AF1" s="22"/>
      <c r="AG1" s="22"/>
      <c r="AH1" s="22"/>
      <c r="AI1" s="22"/>
      <c r="AJ1" s="22"/>
      <c r="AK1" s="22"/>
      <c r="AL1" s="22"/>
      <c r="AM1" s="22"/>
      <c r="AN1" s="22"/>
      <c r="AO1" s="22"/>
      <c r="AP1" s="22"/>
      <c r="AQ1" s="22"/>
      <c r="AR1" s="22"/>
      <c r="AS1" s="22"/>
    </row>
    <row r="2" spans="1:45" ht="18.75" customHeight="1" x14ac:dyDescent="0.3">
      <c r="A2" s="45">
        <v>4</v>
      </c>
      <c r="B2" s="77"/>
      <c r="C2" s="38" t="str">
        <f>" "&amp;INDEX(Auswahl!$G$2:$G$10,1+0)&amp;" | "&amp;INDEX(Auswahl!$H$2:$H$10,1+0)</f>
        <v xml:space="preserve"> A | Antragsformular</v>
      </c>
      <c r="D2" s="156">
        <f>IF(Auswahl!$I$2=TRUE,2,0)</f>
        <v>0</v>
      </c>
      <c r="E2" s="30"/>
      <c r="F2" s="38" t="str">
        <f>" "&amp;INDEX(Auswahl!$G$2:$G$10,1+3)&amp;" | "&amp;INDEX(Auswahl!$H$2:$H$10,1+3)</f>
        <v xml:space="preserve"> 2 | Pelletsanlage</v>
      </c>
      <c r="G2" s="44"/>
      <c r="H2" s="156">
        <f>IF(Auswahl!$I$5=TRUE,2,0)</f>
        <v>0</v>
      </c>
      <c r="I2" s="32"/>
      <c r="J2" s="38" t="str">
        <f>" "&amp;INDEX(Auswahl!$G$2:$G$10,1+6)&amp;" | "&amp;INDEX(Auswahl!$H$2:$H$10,1+6)</f>
        <v xml:space="preserve"> 5 | Wärmepumpe (Wasser)</v>
      </c>
      <c r="K2" s="44"/>
      <c r="L2" s="156">
        <f>IF(Auswahl!$I$8=TRUE,2,0)</f>
        <v>0</v>
      </c>
      <c r="M2" s="79"/>
      <c r="N2" s="79"/>
      <c r="O2" s="22"/>
      <c r="P2" s="22"/>
      <c r="Q2" s="22"/>
      <c r="R2" s="71"/>
      <c r="S2" s="71"/>
      <c r="T2" s="71"/>
      <c r="U2" s="71"/>
      <c r="V2" s="71"/>
      <c r="W2" s="71"/>
      <c r="X2" s="71"/>
      <c r="Y2" s="71"/>
      <c r="Z2" s="71"/>
      <c r="AA2" s="71"/>
      <c r="AB2" s="71"/>
      <c r="AC2" s="22"/>
      <c r="AD2" s="22"/>
      <c r="AE2" s="22"/>
      <c r="AF2" s="22"/>
      <c r="AG2" s="22"/>
      <c r="AH2" s="22"/>
      <c r="AI2" s="22"/>
      <c r="AJ2" s="22"/>
      <c r="AK2" s="22"/>
      <c r="AL2" s="22"/>
      <c r="AM2" s="22"/>
      <c r="AN2" s="22"/>
      <c r="AO2" s="22"/>
      <c r="AP2" s="22"/>
      <c r="AQ2" s="22"/>
      <c r="AR2" s="22"/>
      <c r="AS2" s="22"/>
    </row>
    <row r="3" spans="1:45" ht="3.75" customHeight="1" x14ac:dyDescent="0.3">
      <c r="A3" s="36"/>
      <c r="B3" s="77"/>
      <c r="C3" s="33"/>
      <c r="D3" s="27"/>
      <c r="E3" s="30"/>
      <c r="F3" s="34"/>
      <c r="G3" s="34"/>
      <c r="H3" s="153"/>
      <c r="I3" s="32"/>
      <c r="J3" s="33"/>
      <c r="K3" s="33"/>
      <c r="L3" s="153"/>
      <c r="M3" s="79"/>
      <c r="N3" s="79"/>
      <c r="O3" s="22"/>
      <c r="P3" s="22"/>
      <c r="Q3" s="22"/>
      <c r="R3" s="71"/>
      <c r="S3" s="71"/>
      <c r="T3" s="71"/>
      <c r="U3" s="71"/>
      <c r="V3" s="71"/>
      <c r="W3" s="71"/>
      <c r="X3" s="71"/>
      <c r="Y3" s="71"/>
      <c r="Z3" s="71"/>
      <c r="AA3" s="71"/>
      <c r="AB3" s="71"/>
      <c r="AC3" s="22"/>
      <c r="AD3" s="22"/>
      <c r="AE3" s="22"/>
      <c r="AF3" s="22"/>
      <c r="AG3" s="22"/>
      <c r="AH3" s="22"/>
      <c r="AI3" s="22"/>
      <c r="AJ3" s="22"/>
      <c r="AK3" s="22"/>
      <c r="AL3" s="22"/>
      <c r="AM3" s="22"/>
      <c r="AN3" s="22"/>
      <c r="AO3" s="22"/>
      <c r="AP3" s="22"/>
      <c r="AQ3" s="22"/>
      <c r="AR3" s="22"/>
      <c r="AS3" s="22"/>
    </row>
    <row r="4" spans="1:45" ht="18.75" customHeight="1" x14ac:dyDescent="0.3">
      <c r="A4" s="334" t="s">
        <v>78</v>
      </c>
      <c r="B4" s="77"/>
      <c r="C4" s="38" t="str">
        <f>" "&amp;INDEX(Auswahl!$G$2:$G$10,1+1)&amp;" | "&amp;INDEX(Auswahl!$H$2:$H$10,1+1)</f>
        <v xml:space="preserve"> 0 | Basisangaben</v>
      </c>
      <c r="D4" s="156">
        <f>IF(Auswahl!$I$3=TRUE,2,0)</f>
        <v>0</v>
      </c>
      <c r="E4" s="30"/>
      <c r="F4" s="38" t="str">
        <f>" "&amp;INDEX(Auswahl!$G$2:$G$10,1+4)&amp;" | "&amp;INDEX(Auswahl!$H$2:$H$10,1+4)</f>
        <v xml:space="preserve"> 3 | Nah- /Fernwärme (ern.)</v>
      </c>
      <c r="G4" s="44"/>
      <c r="H4" s="40">
        <f>IF(Auswahl!$I$6=TRUE,2,0)</f>
        <v>0</v>
      </c>
      <c r="I4" s="32"/>
      <c r="J4" s="38" t="str">
        <f>" "&amp;INDEX(Auswahl!$G$2:$G$10,1+7)&amp;" | "&amp;INDEX(Auswahl!$H$2:$H$10,1+7)</f>
        <v xml:space="preserve"> 6 | Wärmepumpe (Sole)</v>
      </c>
      <c r="K4" s="44"/>
      <c r="L4" s="156">
        <f>IF(Auswahl!$I$9=TRUE,2,0)</f>
        <v>0</v>
      </c>
      <c r="M4" s="80"/>
      <c r="N4" s="80"/>
      <c r="O4" s="335"/>
      <c r="P4" s="22"/>
      <c r="Q4" s="22"/>
      <c r="R4" s="71"/>
      <c r="S4" s="71"/>
      <c r="T4" s="71"/>
      <c r="U4" s="71"/>
      <c r="V4" s="71"/>
      <c r="W4" s="71"/>
      <c r="X4" s="71"/>
      <c r="Y4" s="71"/>
      <c r="Z4" s="71"/>
      <c r="AA4" s="71"/>
      <c r="AB4" s="71"/>
      <c r="AC4" s="22"/>
      <c r="AD4" s="22"/>
      <c r="AE4" s="22"/>
      <c r="AF4" s="22"/>
      <c r="AG4" s="22"/>
      <c r="AH4" s="22"/>
      <c r="AI4" s="22"/>
      <c r="AJ4" s="22"/>
      <c r="AK4" s="22"/>
      <c r="AL4" s="22"/>
      <c r="AM4" s="22"/>
      <c r="AN4" s="22"/>
      <c r="AO4" s="22"/>
      <c r="AP4" s="22"/>
      <c r="AQ4" s="22"/>
      <c r="AR4" s="22"/>
      <c r="AS4" s="22"/>
    </row>
    <row r="5" spans="1:45" ht="3.75" customHeight="1" x14ac:dyDescent="0.3">
      <c r="A5" s="334"/>
      <c r="B5" s="77"/>
      <c r="C5" s="33"/>
      <c r="D5" s="153"/>
      <c r="E5" s="30"/>
      <c r="F5" s="34"/>
      <c r="G5" s="34"/>
      <c r="H5" s="153"/>
      <c r="I5" s="32"/>
      <c r="J5" s="33"/>
      <c r="K5" s="33"/>
      <c r="L5" s="153"/>
      <c r="M5" s="80"/>
      <c r="N5" s="80"/>
      <c r="O5" s="335"/>
      <c r="P5" s="22"/>
      <c r="Q5" s="22"/>
      <c r="R5" s="71"/>
      <c r="S5" s="71"/>
      <c r="T5" s="71"/>
      <c r="U5" s="71"/>
      <c r="V5" s="71"/>
      <c r="W5" s="71"/>
      <c r="X5" s="71"/>
      <c r="Y5" s="71"/>
      <c r="Z5" s="71"/>
      <c r="AA5" s="71"/>
      <c r="AB5" s="71"/>
      <c r="AC5" s="22"/>
      <c r="AD5" s="22"/>
      <c r="AE5" s="22"/>
      <c r="AF5" s="22"/>
      <c r="AG5" s="22"/>
      <c r="AH5" s="22"/>
      <c r="AI5" s="22"/>
      <c r="AJ5" s="22"/>
      <c r="AK5" s="22"/>
      <c r="AL5" s="22"/>
      <c r="AM5" s="22"/>
      <c r="AN5" s="22"/>
      <c r="AO5" s="22"/>
      <c r="AP5" s="22"/>
      <c r="AQ5" s="22"/>
      <c r="AR5" s="22"/>
      <c r="AS5" s="22"/>
    </row>
    <row r="6" spans="1:45" ht="18.75" customHeight="1" x14ac:dyDescent="0.3">
      <c r="A6" s="334"/>
      <c r="B6" s="77"/>
      <c r="C6" s="38" t="str">
        <f>" "&amp;INDEX(Auswahl!$G$2:$G$10,1+2)&amp;" | "&amp;INDEX(Auswahl!$H$2:$H$10,1+2)</f>
        <v xml:space="preserve"> 1 | Bitte wählen…</v>
      </c>
      <c r="D6" s="156">
        <f>IF(Auswahl!$I$4=TRUE,2,0)</f>
        <v>0</v>
      </c>
      <c r="E6" s="30"/>
      <c r="F6" s="39" t="str">
        <f>" "&amp;INDEX(Auswahl!$G$2:$G$10,1+5)&amp;" | "&amp;INDEX(Auswahl!$H$2:$H$10,1+5)</f>
        <v xml:space="preserve"> 4 | Wärmepumpe (Luft)</v>
      </c>
      <c r="G6" s="61"/>
      <c r="H6" s="175">
        <f>IF(Auswahl!$I$7=TRUE,2,0)</f>
        <v>0</v>
      </c>
      <c r="I6" s="32"/>
      <c r="J6" s="38" t="str">
        <f>" "&amp;INDEX(Auswahl!$G$2:$G$10,1+8)&amp;" | "&amp;INDEX(Auswahl!$H$2:$H$10,1+8)</f>
        <v xml:space="preserve"> 7 | Rahmenbedingungen</v>
      </c>
      <c r="K6" s="44"/>
      <c r="L6" s="156">
        <f>IF(Auswahl!$I$10=TRUE,2,0)</f>
        <v>0</v>
      </c>
      <c r="M6" s="80"/>
      <c r="N6" s="80"/>
      <c r="O6" s="335"/>
      <c r="P6" s="22"/>
      <c r="Q6" s="22"/>
      <c r="R6" s="71"/>
      <c r="S6" s="71"/>
      <c r="T6" s="71"/>
      <c r="U6" s="71"/>
      <c r="V6" s="71"/>
      <c r="W6" s="71"/>
      <c r="X6" s="71"/>
      <c r="Y6" s="71"/>
      <c r="Z6" s="71"/>
      <c r="AA6" s="71"/>
      <c r="AB6" s="71"/>
      <c r="AC6" s="22"/>
      <c r="AD6" s="22"/>
      <c r="AE6" s="22"/>
      <c r="AF6" s="22"/>
      <c r="AG6" s="22"/>
      <c r="AH6" s="22"/>
      <c r="AI6" s="22"/>
      <c r="AJ6" s="22"/>
      <c r="AK6" s="22"/>
      <c r="AL6" s="22"/>
      <c r="AM6" s="22"/>
      <c r="AN6" s="22"/>
      <c r="AO6" s="22"/>
      <c r="AP6" s="22"/>
      <c r="AQ6" s="22"/>
      <c r="AR6" s="22"/>
      <c r="AS6" s="22"/>
    </row>
    <row r="7" spans="1:45" ht="6.75" customHeight="1" x14ac:dyDescent="0.3">
      <c r="A7" s="22"/>
      <c r="B7" s="71"/>
      <c r="C7" s="29"/>
      <c r="D7" s="153"/>
      <c r="E7" s="24"/>
      <c r="F7" s="29"/>
      <c r="G7" s="29"/>
      <c r="H7" s="153"/>
      <c r="I7" s="25"/>
      <c r="J7" s="29"/>
      <c r="K7" s="29"/>
      <c r="L7" s="153"/>
      <c r="M7" s="80"/>
      <c r="N7" s="80"/>
      <c r="O7" s="335"/>
      <c r="P7" s="22"/>
      <c r="Q7" s="22"/>
      <c r="R7" s="71"/>
      <c r="S7" s="71"/>
      <c r="T7" s="71"/>
      <c r="U7" s="71"/>
      <c r="V7" s="71"/>
      <c r="W7" s="71"/>
      <c r="X7" s="71"/>
      <c r="Y7" s="71"/>
      <c r="Z7" s="71"/>
      <c r="AA7" s="71"/>
      <c r="AB7" s="71"/>
      <c r="AC7" s="22"/>
      <c r="AD7" s="22"/>
      <c r="AE7" s="22"/>
      <c r="AF7" s="22"/>
      <c r="AG7" s="22"/>
      <c r="AH7" s="22"/>
      <c r="AI7" s="22"/>
      <c r="AJ7" s="22"/>
      <c r="AK7" s="22"/>
      <c r="AL7" s="22"/>
      <c r="AM7" s="22"/>
      <c r="AN7" s="22"/>
      <c r="AO7" s="22"/>
      <c r="AP7" s="22"/>
      <c r="AQ7" s="22"/>
      <c r="AR7" s="22"/>
      <c r="AS7" s="22"/>
    </row>
    <row r="8" spans="1:45" ht="12.75" customHeight="1" x14ac:dyDescent="0.3">
      <c r="A8" s="22"/>
      <c r="B8" s="78"/>
      <c r="C8" s="35"/>
      <c r="D8" s="31"/>
      <c r="E8" s="24"/>
      <c r="F8" s="24"/>
      <c r="G8" s="24"/>
      <c r="H8" s="31"/>
      <c r="I8" s="24"/>
      <c r="J8" s="24"/>
      <c r="K8" s="24"/>
      <c r="L8" s="31"/>
      <c r="M8" s="78"/>
      <c r="N8" s="78"/>
      <c r="O8" s="22"/>
      <c r="P8" s="22"/>
      <c r="Q8" s="22"/>
      <c r="R8" s="71"/>
      <c r="S8" s="71"/>
      <c r="T8" s="71"/>
      <c r="U8" s="71"/>
      <c r="V8" s="71"/>
      <c r="W8" s="71"/>
      <c r="X8" s="71"/>
      <c r="Y8" s="71"/>
      <c r="Z8" s="71"/>
      <c r="AA8" s="71"/>
      <c r="AB8" s="71"/>
      <c r="AC8" s="22"/>
      <c r="AD8" s="22"/>
      <c r="AE8" s="22"/>
      <c r="AF8" s="22"/>
      <c r="AG8" s="22"/>
      <c r="AH8" s="22"/>
      <c r="AI8" s="22"/>
      <c r="AJ8" s="22"/>
      <c r="AK8" s="22"/>
      <c r="AL8" s="22"/>
      <c r="AM8" s="22"/>
      <c r="AN8" s="22"/>
      <c r="AO8" s="22"/>
      <c r="AP8" s="22"/>
      <c r="AQ8" s="22"/>
      <c r="AR8" s="22"/>
      <c r="AS8" s="22"/>
    </row>
    <row r="9" spans="1:45" ht="3.75" customHeight="1" x14ac:dyDescent="0.3">
      <c r="A9" s="22"/>
      <c r="N9" s="71"/>
      <c r="O9" s="22"/>
      <c r="P9" s="22"/>
      <c r="Q9" s="22"/>
      <c r="R9" s="71"/>
      <c r="S9" s="71"/>
      <c r="T9" s="71"/>
      <c r="U9" s="71"/>
      <c r="V9" s="71"/>
      <c r="W9" s="71"/>
      <c r="X9" s="71"/>
      <c r="Y9" s="71"/>
      <c r="Z9" s="71"/>
      <c r="AA9" s="71"/>
      <c r="AB9" s="71"/>
      <c r="AC9" s="22"/>
      <c r="AD9" s="22"/>
      <c r="AE9" s="22"/>
      <c r="AF9" s="22"/>
      <c r="AG9" s="22"/>
      <c r="AH9" s="22"/>
      <c r="AI9" s="22"/>
      <c r="AJ9" s="22"/>
      <c r="AK9" s="22"/>
      <c r="AL9" s="22"/>
      <c r="AM9" s="22"/>
      <c r="AN9" s="22"/>
      <c r="AO9" s="22"/>
      <c r="AP9" s="22"/>
      <c r="AQ9" s="22"/>
      <c r="AR9" s="22"/>
      <c r="AS9" s="22"/>
    </row>
    <row r="10" spans="1:45" ht="20.25" x14ac:dyDescent="0.3">
      <c r="A10" s="277"/>
      <c r="C10" s="46" t="str">
        <f>$A$2&amp;". SYSTEM: "&amp;UPPER(VLOOKUP($A$2,Navigation,2,FALSE))</f>
        <v>4. SYSTEM: WÄRMEPUMPE (LUFT)</v>
      </c>
      <c r="D10" s="47"/>
      <c r="E10" s="48"/>
      <c r="F10" s="48"/>
      <c r="G10" s="48"/>
      <c r="H10" s="48"/>
      <c r="I10" s="48"/>
      <c r="J10" s="400" t="str">
        <f>IF(Auswahl!$I$7=TRUE,"",UPPER("unvollständig"))</f>
        <v>UNVOLLSTÄNDIG</v>
      </c>
      <c r="K10" s="400"/>
      <c r="L10" s="400"/>
      <c r="M10" s="76"/>
      <c r="N10" s="78"/>
      <c r="O10" s="24"/>
      <c r="P10" s="22"/>
      <c r="Q10" s="22"/>
      <c r="R10" s="71"/>
      <c r="S10" s="71"/>
      <c r="T10" s="71"/>
      <c r="U10" s="101"/>
      <c r="V10" s="71"/>
      <c r="W10" s="71"/>
      <c r="X10" s="102"/>
      <c r="Y10" s="71"/>
      <c r="Z10" s="71"/>
      <c r="AA10" s="71"/>
      <c r="AB10" s="71"/>
      <c r="AC10" s="22"/>
      <c r="AD10" s="22"/>
      <c r="AE10" s="22"/>
      <c r="AF10" s="22"/>
      <c r="AG10" s="22"/>
      <c r="AH10" s="22"/>
      <c r="AI10" s="22"/>
      <c r="AJ10" s="22"/>
      <c r="AK10" s="22"/>
      <c r="AL10" s="22"/>
      <c r="AM10" s="22"/>
      <c r="AN10" s="22"/>
      <c r="AO10" s="22"/>
      <c r="AP10" s="22"/>
      <c r="AQ10" s="22"/>
      <c r="AR10" s="22"/>
      <c r="AS10" s="22"/>
    </row>
    <row r="11" spans="1:45" x14ac:dyDescent="0.3">
      <c r="A11" s="22"/>
      <c r="C11" s="48"/>
      <c r="D11" s="48"/>
      <c r="E11" s="48"/>
      <c r="F11" s="48"/>
      <c r="G11" s="48"/>
      <c r="H11" s="48"/>
      <c r="I11" s="48"/>
      <c r="J11" s="48"/>
      <c r="K11" s="48"/>
      <c r="L11" s="49"/>
      <c r="M11" s="76"/>
      <c r="N11" s="78"/>
      <c r="O11" s="24"/>
      <c r="P11" s="22"/>
      <c r="Q11" s="22"/>
      <c r="R11" s="71"/>
      <c r="S11" s="71"/>
      <c r="T11" s="71"/>
      <c r="U11" s="101"/>
      <c r="V11" s="71"/>
      <c r="W11" s="71"/>
      <c r="X11" s="71"/>
      <c r="Y11" s="71"/>
      <c r="Z11" s="71"/>
      <c r="AA11" s="71"/>
      <c r="AB11" s="71"/>
      <c r="AC11" s="22"/>
      <c r="AD11" s="22"/>
      <c r="AE11" s="22"/>
      <c r="AF11" s="22"/>
      <c r="AG11" s="22"/>
      <c r="AH11" s="22"/>
      <c r="AI11" s="22"/>
      <c r="AJ11" s="22"/>
      <c r="AK11" s="22"/>
      <c r="AL11" s="22"/>
      <c r="AM11" s="22"/>
      <c r="AN11" s="22"/>
      <c r="AO11" s="22"/>
      <c r="AP11" s="22"/>
      <c r="AQ11" s="22"/>
      <c r="AR11" s="22"/>
      <c r="AS11" s="22"/>
    </row>
    <row r="12" spans="1:45" x14ac:dyDescent="0.3">
      <c r="A12" s="190"/>
      <c r="C12" s="47" t="str">
        <f>$A$2&amp;".1 "&amp;UPPER(INDEX(Auswahl!$P$2:$P$6,1))</f>
        <v>4.1 AUSSCHLUSSGRÜNDE</v>
      </c>
      <c r="D12" s="47"/>
      <c r="E12" s="48"/>
      <c r="F12" s="48"/>
      <c r="G12" s="48"/>
      <c r="H12" s="48"/>
      <c r="I12" s="48"/>
      <c r="J12" s="48"/>
      <c r="K12" s="48"/>
      <c r="L12" s="48"/>
      <c r="M12" s="66"/>
      <c r="N12" s="189"/>
      <c r="O12" s="24"/>
      <c r="P12" s="22"/>
      <c r="Q12" s="22"/>
      <c r="R12" s="71"/>
      <c r="S12" s="71"/>
      <c r="T12" s="71"/>
      <c r="U12" s="101"/>
      <c r="V12" s="71"/>
      <c r="W12" s="71"/>
      <c r="X12" s="71"/>
      <c r="Y12" s="71"/>
      <c r="Z12" s="71"/>
      <c r="AA12" s="71"/>
      <c r="AB12" s="71"/>
      <c r="AC12" s="22"/>
      <c r="AD12" s="22"/>
      <c r="AE12" s="22"/>
      <c r="AF12" s="22"/>
      <c r="AG12" s="22"/>
      <c r="AH12" s="22"/>
      <c r="AI12" s="22"/>
      <c r="AJ12" s="22"/>
      <c r="AK12" s="22"/>
      <c r="AL12" s="22"/>
      <c r="AM12" s="22"/>
      <c r="AN12" s="22"/>
      <c r="AO12" s="22"/>
      <c r="AP12" s="22"/>
      <c r="AQ12" s="22"/>
      <c r="AR12" s="22"/>
      <c r="AS12" s="22"/>
    </row>
    <row r="13" spans="1:45" ht="7.5" customHeight="1" x14ac:dyDescent="0.3">
      <c r="A13" s="190"/>
      <c r="C13" s="48"/>
      <c r="D13" s="48"/>
      <c r="E13" s="48"/>
      <c r="F13" s="48"/>
      <c r="G13" s="48"/>
      <c r="H13" s="48"/>
      <c r="I13" s="48"/>
      <c r="J13" s="48"/>
      <c r="K13" s="48"/>
      <c r="L13" s="49"/>
      <c r="M13" s="76"/>
      <c r="N13" s="78"/>
      <c r="O13" s="24"/>
      <c r="P13" s="22"/>
      <c r="Q13" s="22"/>
      <c r="R13" s="71"/>
      <c r="S13" s="71"/>
      <c r="T13" s="71"/>
      <c r="U13" s="71"/>
      <c r="V13" s="71"/>
      <c r="W13" s="71"/>
      <c r="X13" s="71"/>
      <c r="Y13" s="71"/>
      <c r="Z13" s="71"/>
      <c r="AA13" s="71"/>
      <c r="AB13" s="71"/>
      <c r="AC13" s="22"/>
      <c r="AD13" s="22"/>
      <c r="AE13" s="22"/>
      <c r="AF13" s="22"/>
      <c r="AG13" s="22"/>
      <c r="AH13" s="22"/>
      <c r="AI13" s="22"/>
      <c r="AJ13" s="22"/>
      <c r="AK13" s="22"/>
      <c r="AL13" s="22"/>
      <c r="AM13" s="22"/>
      <c r="AN13" s="22"/>
      <c r="AO13" s="22"/>
      <c r="AP13" s="22"/>
      <c r="AQ13" s="22"/>
      <c r="AR13" s="22"/>
      <c r="AS13" s="22"/>
    </row>
    <row r="14" spans="1:45" x14ac:dyDescent="0.3">
      <c r="A14" s="190"/>
      <c r="C14" s="51" t="s">
        <v>316</v>
      </c>
      <c r="D14" s="48"/>
      <c r="E14" s="48"/>
      <c r="F14" s="48"/>
      <c r="G14" s="48"/>
      <c r="H14" s="48"/>
      <c r="I14" s="48"/>
      <c r="J14" s="48"/>
      <c r="K14" s="48"/>
      <c r="L14" s="49"/>
      <c r="M14" s="76"/>
      <c r="N14" s="78"/>
      <c r="O14" s="30"/>
      <c r="P14" s="22"/>
      <c r="Q14" s="22"/>
      <c r="R14" s="71"/>
      <c r="S14" s="71"/>
      <c r="T14" s="71"/>
      <c r="U14" s="71"/>
      <c r="V14" s="71"/>
      <c r="W14" s="71"/>
      <c r="X14" s="71"/>
      <c r="Y14" s="71"/>
      <c r="Z14" s="71"/>
      <c r="AA14" s="71"/>
      <c r="AB14" s="71"/>
      <c r="AC14" s="22"/>
      <c r="AD14" s="22"/>
      <c r="AE14" s="22"/>
      <c r="AF14" s="22"/>
      <c r="AG14" s="22"/>
      <c r="AH14" s="22"/>
      <c r="AI14" s="22"/>
      <c r="AJ14" s="22"/>
      <c r="AK14" s="22"/>
      <c r="AL14" s="22"/>
      <c r="AM14" s="22"/>
      <c r="AN14" s="22"/>
      <c r="AO14" s="22"/>
      <c r="AP14" s="22"/>
      <c r="AQ14" s="22"/>
      <c r="AR14" s="22"/>
      <c r="AS14" s="22"/>
    </row>
    <row r="15" spans="1:45" x14ac:dyDescent="0.3">
      <c r="A15" s="190"/>
      <c r="C15" s="51" t="s">
        <v>317</v>
      </c>
      <c r="D15" s="48"/>
      <c r="E15" s="48"/>
      <c r="F15" s="48"/>
      <c r="G15" s="48"/>
      <c r="H15" s="48"/>
      <c r="I15" s="48"/>
      <c r="J15" s="48"/>
      <c r="K15" s="48"/>
      <c r="L15" s="49"/>
      <c r="M15" s="76"/>
      <c r="N15" s="78"/>
      <c r="O15" s="30"/>
      <c r="P15" s="22"/>
      <c r="Q15" s="187"/>
      <c r="R15" s="71"/>
      <c r="S15" s="71"/>
      <c r="T15" s="71"/>
      <c r="U15" s="71"/>
      <c r="V15" s="71"/>
      <c r="W15" s="71"/>
      <c r="X15" s="71"/>
      <c r="Y15" s="71"/>
      <c r="Z15" s="71"/>
      <c r="AA15" s="71"/>
      <c r="AB15" s="71"/>
      <c r="AC15" s="22"/>
      <c r="AD15" s="22"/>
      <c r="AE15" s="22"/>
      <c r="AF15" s="22"/>
      <c r="AG15" s="22"/>
      <c r="AH15" s="22"/>
      <c r="AI15" s="22"/>
      <c r="AJ15" s="22"/>
      <c r="AK15" s="22"/>
      <c r="AL15" s="22"/>
      <c r="AM15" s="22"/>
      <c r="AN15" s="22"/>
      <c r="AO15" s="22"/>
      <c r="AP15" s="22"/>
      <c r="AQ15" s="22"/>
      <c r="AR15" s="22"/>
      <c r="AS15" s="22"/>
    </row>
    <row r="16" spans="1:45" ht="7.5" customHeight="1" x14ac:dyDescent="0.3">
      <c r="A16" s="190"/>
      <c r="C16" s="48"/>
      <c r="D16" s="48"/>
      <c r="E16" s="48"/>
      <c r="F16" s="48"/>
      <c r="G16" s="48"/>
      <c r="H16" s="48"/>
      <c r="I16" s="48"/>
      <c r="J16" s="48"/>
      <c r="K16" s="48"/>
      <c r="L16" s="49"/>
      <c r="M16" s="76"/>
      <c r="N16" s="78"/>
      <c r="O16" s="30"/>
      <c r="P16" s="22"/>
      <c r="Q16" s="22"/>
      <c r="R16" s="71"/>
      <c r="S16" s="71"/>
      <c r="T16" s="71"/>
      <c r="U16" s="71"/>
      <c r="V16" s="71"/>
      <c r="W16" s="71"/>
      <c r="X16" s="71"/>
      <c r="Y16" s="71"/>
      <c r="Z16" s="71"/>
      <c r="AA16" s="71"/>
      <c r="AB16" s="71"/>
      <c r="AC16" s="22"/>
      <c r="AD16" s="22"/>
      <c r="AE16" s="22"/>
      <c r="AF16" s="22"/>
      <c r="AG16" s="22"/>
      <c r="AH16" s="22"/>
      <c r="AI16" s="22"/>
      <c r="AJ16" s="22"/>
      <c r="AK16" s="22"/>
      <c r="AL16" s="22"/>
      <c r="AM16" s="22"/>
      <c r="AN16" s="22"/>
      <c r="AO16" s="22"/>
      <c r="AP16" s="22"/>
      <c r="AQ16" s="22"/>
      <c r="AR16" s="22"/>
      <c r="AS16" s="22"/>
    </row>
    <row r="17" spans="1:45" ht="42.75" customHeight="1" x14ac:dyDescent="0.3">
      <c r="A17" s="190"/>
      <c r="C17" s="393" t="str">
        <f>IF(A2=1,TBS_Systeme_4,TBS_Systeme_1&amp;VLOOKUP($A$2,Navigation,2,FALSE)&amp;IF(AND(VLOOKUP($A$2,Navigation,4,FALSE)=FALSE,VLOOKUP($A$2,Navigation,5,FALSE)=FALSE),TBS_Systeme_2,TBS_Systeme_3))</f>
        <v>Die Verwendung einer Wärmepumpe (Luft) ist technisch und rechtlich möglich. Bitte mit der Wirtschaftlichkeitsberechnung fortfahren.</v>
      </c>
      <c r="D17" s="393"/>
      <c r="E17" s="393"/>
      <c r="F17" s="393"/>
      <c r="G17" s="393"/>
      <c r="H17" s="393"/>
      <c r="I17" s="393"/>
      <c r="J17" s="393"/>
      <c r="K17" s="393"/>
      <c r="L17" s="393"/>
      <c r="M17" s="76"/>
      <c r="N17" s="78"/>
      <c r="O17" s="267"/>
      <c r="P17" s="54"/>
      <c r="Q17" s="54"/>
      <c r="R17" s="71"/>
      <c r="S17" s="71"/>
      <c r="T17" s="71"/>
      <c r="U17" s="71"/>
      <c r="V17" s="71"/>
      <c r="W17" s="71"/>
      <c r="X17" s="71"/>
      <c r="Y17" s="71"/>
      <c r="Z17" s="71"/>
      <c r="AA17" s="71"/>
      <c r="AB17" s="71"/>
      <c r="AC17" s="22"/>
      <c r="AD17" s="22"/>
      <c r="AE17" s="22"/>
      <c r="AF17" s="22"/>
      <c r="AG17" s="22"/>
      <c r="AH17" s="22"/>
      <c r="AI17" s="22"/>
      <c r="AJ17" s="22"/>
      <c r="AK17" s="22"/>
      <c r="AL17" s="22"/>
      <c r="AM17" s="22"/>
      <c r="AN17" s="22"/>
      <c r="AO17" s="22"/>
      <c r="AP17" s="22"/>
      <c r="AQ17" s="22"/>
      <c r="AR17" s="22"/>
      <c r="AS17" s="22"/>
    </row>
    <row r="18" spans="1:45" ht="16.5" customHeight="1" x14ac:dyDescent="0.3">
      <c r="A18" s="22"/>
      <c r="B18" s="75"/>
      <c r="C18" s="425" t="str">
        <f>IF(INDEX(Status_Systeme,$A$2)=TRUE,"",$A$2&amp;".2 "&amp;UPPER(INDEX(Auswahl!$P$2:$P$6,2)))</f>
        <v>4.2 INVESTITIONSKOSTEN</v>
      </c>
      <c r="D18" s="425"/>
      <c r="E18" s="425"/>
      <c r="F18" s="425"/>
      <c r="G18" s="410" t="str">
        <f>IF(INDEX(Status_Systeme,$A$2)=TRUE,"","Invest-Kosten¹"&amp;CHAR(10)&amp;"[€]")</f>
        <v>Invest-Kosten¹
[€]</v>
      </c>
      <c r="H18" s="410"/>
      <c r="I18" s="410"/>
      <c r="J18" s="410" t="str">
        <f>IF(INDEX(Status_Systeme,$A$2)=TRUE,"","Nutzung"&amp;CHAR(10)&amp;"t [a]")</f>
        <v>Nutzung
t [a]</v>
      </c>
      <c r="K18" s="408" t="str">
        <f>IF(INDEX(Status_Systeme,$A$2)=TRUE,"","Gesamtkosten"&amp;CHAR(2)&amp;CHAR(10)&amp;"nach "&amp;Basis_Betrachtungszeitraum&amp;"a [€]"&amp;CHAR(2))</f>
        <v>Gesamtkosten_x0002_
nach 20a [€]_x0002_</v>
      </c>
      <c r="L18" s="408"/>
      <c r="M18" s="76"/>
      <c r="N18" s="78"/>
      <c r="O18" s="266"/>
      <c r="P18" s="22"/>
      <c r="Q18" s="22"/>
      <c r="R18" s="71"/>
      <c r="S18" s="70" t="s">
        <v>211</v>
      </c>
      <c r="T18" s="404" t="s">
        <v>4</v>
      </c>
      <c r="U18" s="404"/>
      <c r="V18" s="404"/>
      <c r="W18" s="404"/>
      <c r="X18" s="404" t="s">
        <v>2</v>
      </c>
      <c r="Y18" s="404"/>
      <c r="Z18" s="70" t="s">
        <v>355</v>
      </c>
      <c r="AA18" s="71"/>
      <c r="AB18" s="71"/>
      <c r="AC18" s="22"/>
      <c r="AD18" s="22"/>
      <c r="AE18" s="22"/>
      <c r="AF18" s="22"/>
      <c r="AG18" s="22"/>
      <c r="AH18" s="22"/>
      <c r="AI18" s="22"/>
      <c r="AJ18" s="22"/>
      <c r="AK18" s="22"/>
      <c r="AL18" s="22"/>
      <c r="AM18" s="22"/>
      <c r="AN18" s="22"/>
      <c r="AO18" s="22"/>
      <c r="AP18" s="22"/>
      <c r="AQ18" s="22"/>
      <c r="AR18" s="22"/>
      <c r="AS18" s="22"/>
    </row>
    <row r="19" spans="1:45" ht="21" customHeight="1" x14ac:dyDescent="0.3">
      <c r="A19" s="22"/>
      <c r="B19" s="75"/>
      <c r="C19" s="426" t="str">
        <f>IF(INDEX(Status_Systeme,$A$2)=TRUE,"","A | ANLAGENTEILE")</f>
        <v>A | ANLAGENTEILE</v>
      </c>
      <c r="D19" s="426"/>
      <c r="E19" s="426"/>
      <c r="F19" s="426"/>
      <c r="G19" s="411"/>
      <c r="H19" s="411"/>
      <c r="I19" s="411"/>
      <c r="J19" s="411"/>
      <c r="K19" s="409"/>
      <c r="L19" s="409"/>
      <c r="M19" s="76"/>
      <c r="N19" s="78"/>
      <c r="O19" s="30"/>
      <c r="P19" s="22"/>
      <c r="Q19" s="22"/>
      <c r="R19" s="71"/>
      <c r="S19" s="71"/>
      <c r="T19" s="70" t="s">
        <v>361</v>
      </c>
      <c r="U19" s="70" t="s">
        <v>359</v>
      </c>
      <c r="V19" s="70" t="s">
        <v>360</v>
      </c>
      <c r="W19" s="70" t="s">
        <v>358</v>
      </c>
      <c r="X19" s="70" t="s">
        <v>362</v>
      </c>
      <c r="Y19" s="70" t="s">
        <v>358</v>
      </c>
      <c r="Z19" s="70" t="s">
        <v>358</v>
      </c>
      <c r="AA19" s="71"/>
      <c r="AB19" s="71"/>
      <c r="AC19" s="22"/>
      <c r="AD19" s="22"/>
      <c r="AE19" s="22"/>
      <c r="AF19" s="22"/>
      <c r="AG19" s="22"/>
      <c r="AH19" s="22"/>
      <c r="AI19" s="22"/>
      <c r="AJ19" s="22"/>
      <c r="AK19" s="22"/>
      <c r="AL19" s="22"/>
      <c r="AM19" s="22"/>
      <c r="AN19" s="22"/>
      <c r="AO19" s="22"/>
      <c r="AP19" s="22"/>
      <c r="AQ19" s="22"/>
      <c r="AR19" s="22"/>
      <c r="AS19" s="22"/>
    </row>
    <row r="20" spans="1:45" ht="16.5" customHeight="1" x14ac:dyDescent="0.3">
      <c r="A20" s="22"/>
      <c r="B20" s="184" t="str">
        <f>IF(O20="","","!")</f>
        <v>!</v>
      </c>
      <c r="C20" s="420" t="str">
        <f>IF(INDEX(Status_Systeme,$A$2)=TRUE,"",IF(Basis_WW_dezentral=TRUE,Tabellen!AT5,Tabellen!AT4))</f>
        <v>Warmwasserbereitung</v>
      </c>
      <c r="D20" s="420"/>
      <c r="E20" s="420"/>
      <c r="F20" s="420"/>
      <c r="G20" s="406"/>
      <c r="H20" s="406"/>
      <c r="I20" s="406"/>
      <c r="J20" s="60">
        <f>IF(C20="","",VLOOKUP(C20,Tabelle_Kosten_Komponenten,2,FALSE))</f>
        <v>30</v>
      </c>
      <c r="K20" s="405" t="str">
        <f>IF(OR(C20="",G20="",J20=""),"",Z20+W20-Y20)</f>
        <v/>
      </c>
      <c r="L20" s="405"/>
      <c r="M20" s="76"/>
      <c r="N20" s="178" t="str">
        <f>IF(O20="","","ï")</f>
        <v>ï</v>
      </c>
      <c r="O20" s="268" t="str">
        <f>IF(S20=TRUE,"",IF(LEN(C20)&gt;0,IF(G20="",TBS_Fehler_2,""),IF(G20="","",TBS_Fehler_3)))</f>
        <v>Bitte dieses Feld (roter Bereich = Pflichtfeld) ausfüllen!</v>
      </c>
      <c r="P20" s="272"/>
      <c r="Q20" s="22"/>
      <c r="R20" s="71"/>
      <c r="S20" s="72" t="b">
        <f>ISERROR(FIND("optional",C20))=FALSE</f>
        <v>0</v>
      </c>
      <c r="T20" s="72">
        <f>IF((Basis_Betrachtungszeitraum/J20)&lt;=1,0,IF((Basis_Betrachtungszeitraum/J20)&lt;=2,1,2))</f>
        <v>0</v>
      </c>
      <c r="U20" s="326">
        <f>IF(T20&lt;1,0,G20*IF($A$2=1,1,(1-Basis_Foerderung))*(1+Basis_Preisentwicklung_Produkte)^J20)</f>
        <v>0</v>
      </c>
      <c r="V20" s="326">
        <f>IF(T20&gt;1,G20*IF($A$2=1,1,(1-Basis_Foerderung))*(1+Basis_Preisentwicklung_Produkte)^(2*J20),0)</f>
        <v>0</v>
      </c>
      <c r="W20" s="326">
        <f>U20*(1/(1+Basis_Realzins))^J20+V20*(1/(1+Basis_Realzins))^(2*J20)</f>
        <v>0</v>
      </c>
      <c r="X20" s="73">
        <f>IF((INT(Basis_Betrachtungszeitraum/J20)=Basis_Betrachtungszeitraum/J20),1,(J20*(T20+1)-Basis_Betrachtungszeitraum)/J20)</f>
        <v>0.33333333333333331</v>
      </c>
      <c r="Y20" s="326">
        <f>IF(X20=1,0,IF(T20=0,G20*IF($A$2=1,1,(1-Basis_Foerderung)),INDEX(U20:V20,1,T20))*Basis_Diskontsatz*X20)</f>
        <v>0</v>
      </c>
      <c r="Z20" s="326">
        <f>G20*IF($A$2=1,1,(1-Basis_Foerderung))</f>
        <v>0</v>
      </c>
      <c r="AA20" s="71"/>
      <c r="AB20" s="71"/>
      <c r="AC20" s="22"/>
      <c r="AD20" s="22"/>
      <c r="AE20" s="22"/>
      <c r="AF20" s="22"/>
      <c r="AG20" s="22"/>
      <c r="AH20" s="22"/>
      <c r="AI20" s="22"/>
      <c r="AJ20" s="22"/>
      <c r="AK20" s="22"/>
      <c r="AL20" s="22"/>
      <c r="AM20" s="22"/>
      <c r="AN20" s="22"/>
      <c r="AO20" s="22"/>
      <c r="AP20" s="22"/>
      <c r="AQ20" s="22"/>
      <c r="AR20" s="22"/>
      <c r="AS20" s="22"/>
    </row>
    <row r="21" spans="1:45" x14ac:dyDescent="0.3">
      <c r="A21" s="22"/>
      <c r="B21" s="184" t="str">
        <f>IF(O21="","","!")</f>
        <v>!</v>
      </c>
      <c r="C21" s="420" t="str">
        <f>IF(INDEX(Status_Systeme,$A$2)=TRUE,"",IF(INDEX(Tabelle_Komponenten,1,12)="","",INDEX(Tabelle_Komponenten,1,12)))</f>
        <v>Wärmepumpe</v>
      </c>
      <c r="D21" s="420"/>
      <c r="E21" s="420"/>
      <c r="F21" s="420"/>
      <c r="G21" s="406"/>
      <c r="H21" s="406"/>
      <c r="I21" s="406"/>
      <c r="J21" s="60">
        <f>IF(C21="","",VLOOKUP(C21,Tabelle_Kosten_Komponenten,2,FALSE))</f>
        <v>30</v>
      </c>
      <c r="K21" s="405" t="str">
        <f t="shared" ref="K21:K23" si="0">IF(OR(C21="",G21="",J21=""),"",Z21+W21-Y21)</f>
        <v/>
      </c>
      <c r="L21" s="405"/>
      <c r="M21" s="76"/>
      <c r="N21" s="178" t="str">
        <f>IF(O21="","","ï")</f>
        <v>ï</v>
      </c>
      <c r="O21" s="268" t="str">
        <f>IF(S21=TRUE,"",IF(LEN(C21)&gt;0,IF(G21="",TBS_Fehler_2,""),IF(G21="","",TBS_Fehler_3)))</f>
        <v>Bitte dieses Feld (roter Bereich = Pflichtfeld) ausfüllen!</v>
      </c>
      <c r="P21" s="22"/>
      <c r="Q21" s="22"/>
      <c r="R21" s="71"/>
      <c r="S21" s="72" t="b">
        <f>ISERROR(FIND("optional",C21))=FALSE</f>
        <v>0</v>
      </c>
      <c r="T21" s="72">
        <f>IF((Basis_Betrachtungszeitraum/J21)&lt;=1,0,IF((Basis_Betrachtungszeitraum/J21)&lt;=2,1,2))</f>
        <v>0</v>
      </c>
      <c r="U21" s="326">
        <f>IF(T21&lt;1,0,G21*IF($A$2=1,1,(1-Basis_Foerderung))*(1+Basis_Preisentwicklung_Produkte)^J21)</f>
        <v>0</v>
      </c>
      <c r="V21" s="326">
        <f>IF(T21&gt;1,G21*IF($A$2=1,1,(1-Basis_Foerderung))*(1+Basis_Preisentwicklung_Produkte)^(2*J21),0)</f>
        <v>0</v>
      </c>
      <c r="W21" s="326">
        <f>U21*(1/(1+Basis_Realzins))^J21+V21*(1/(1+Basis_Realzins))^(2*J21)</f>
        <v>0</v>
      </c>
      <c r="X21" s="73">
        <f>IF((INT(Basis_Betrachtungszeitraum/J21)=Basis_Betrachtungszeitraum/J21),1,(J21*(T21+1)-Basis_Betrachtungszeitraum)/J21)</f>
        <v>0.33333333333333331</v>
      </c>
      <c r="Y21" s="326">
        <f>IF(X21=1,0,IF(T21=0,G21*IF($A$2=1,1,(1-Basis_Foerderung)),INDEX(U21:V21,1,T21))*Basis_Diskontsatz*X21)</f>
        <v>0</v>
      </c>
      <c r="Z21" s="326">
        <f>G21*IF($A$2=1,1,(1-Basis_Foerderung))</f>
        <v>0</v>
      </c>
      <c r="AA21" s="71"/>
      <c r="AB21" s="71"/>
      <c r="AC21" s="22"/>
      <c r="AD21" s="22"/>
      <c r="AE21" s="22"/>
      <c r="AF21" s="22"/>
      <c r="AG21" s="22"/>
      <c r="AH21" s="22"/>
      <c r="AI21" s="22"/>
      <c r="AJ21" s="22"/>
      <c r="AK21" s="22"/>
      <c r="AL21" s="22"/>
      <c r="AM21" s="22"/>
      <c r="AN21" s="22"/>
      <c r="AO21" s="22"/>
      <c r="AP21" s="22"/>
      <c r="AQ21" s="22"/>
      <c r="AR21" s="22"/>
      <c r="AS21" s="22"/>
    </row>
    <row r="22" spans="1:45" x14ac:dyDescent="0.3">
      <c r="A22" s="22"/>
      <c r="B22" s="184" t="str">
        <f>IF(O22="","","!")</f>
        <v/>
      </c>
      <c r="C22" s="420" t="str">
        <f>IF(INDEX(Status_Systeme,$A$2)=TRUE,"",IF(INDEX(Tabelle_Komponenten,2,12)="","",INDEX(Tabelle_Komponenten,2,12)))</f>
        <v>Lastausgleichsspeicher (optional)</v>
      </c>
      <c r="D22" s="420"/>
      <c r="E22" s="420"/>
      <c r="F22" s="420"/>
      <c r="G22" s="406"/>
      <c r="H22" s="406"/>
      <c r="I22" s="406"/>
      <c r="J22" s="58">
        <f>IF(C22="","",VLOOKUP(C22,Tabelle_Kosten_Komponenten,2,FALSE))</f>
        <v>30</v>
      </c>
      <c r="K22" s="405" t="str">
        <f t="shared" si="0"/>
        <v/>
      </c>
      <c r="L22" s="405"/>
      <c r="M22" s="76"/>
      <c r="N22" s="178" t="str">
        <f>IF(O22="","","ï")</f>
        <v/>
      </c>
      <c r="O22" s="268" t="str">
        <f>IF(S22=TRUE,"",IF(LEN(C22)&gt;0,IF(G22="",TBS_Fehler_2,""),IF(G22="","",TBS_Fehler_3)))</f>
        <v/>
      </c>
      <c r="P22" s="22"/>
      <c r="Q22" s="22"/>
      <c r="R22" s="71"/>
      <c r="S22" s="72" t="b">
        <f>ISERROR(FIND("optional",C22))=FALSE</f>
        <v>1</v>
      </c>
      <c r="T22" s="72">
        <f>IF((Basis_Betrachtungszeitraum/J22)&lt;=1,0,IF((Basis_Betrachtungszeitraum/J22)&lt;=2,1,2))</f>
        <v>0</v>
      </c>
      <c r="U22" s="326">
        <f>IF(T22&lt;1,0,G22*IF($A$2=1,1,(1-Basis_Foerderung))*(1+Basis_Preisentwicklung_Produkte)^J22)</f>
        <v>0</v>
      </c>
      <c r="V22" s="326">
        <f>IF(T22&gt;1,G22*IF($A$2=1,1,(1-Basis_Foerderung))*(1+Basis_Preisentwicklung_Produkte)^(2*J22),0)</f>
        <v>0</v>
      </c>
      <c r="W22" s="326">
        <f>U22*(1/(1+Basis_Realzins))^J22+V22*(1/(1+Basis_Realzins))^(2*J22)</f>
        <v>0</v>
      </c>
      <c r="X22" s="73">
        <f>IF((INT(Basis_Betrachtungszeitraum/J22)=Basis_Betrachtungszeitraum/J22),1,(J22*(T22+1)-Basis_Betrachtungszeitraum)/J22)</f>
        <v>0.33333333333333331</v>
      </c>
      <c r="Y22" s="326">
        <f>IF(X22=1,0,IF(T22=0,G22*IF($A$2=1,1,(1-Basis_Foerderung)),INDEX(U22:V22,1,T22))*Basis_Diskontsatz*X22)</f>
        <v>0</v>
      </c>
      <c r="Z22" s="326">
        <f>G22*IF($A$2=1,1,(1-Basis_Foerderung))</f>
        <v>0</v>
      </c>
      <c r="AA22" s="71"/>
      <c r="AB22" s="71"/>
      <c r="AC22" s="22"/>
      <c r="AD22" s="22"/>
      <c r="AE22" s="22"/>
      <c r="AF22" s="22"/>
      <c r="AG22" s="22"/>
      <c r="AH22" s="22"/>
      <c r="AI22" s="22"/>
      <c r="AJ22" s="22"/>
      <c r="AK22" s="22"/>
      <c r="AL22" s="22"/>
      <c r="AM22" s="22"/>
      <c r="AN22" s="22"/>
      <c r="AO22" s="22"/>
      <c r="AP22" s="22"/>
      <c r="AQ22" s="22"/>
      <c r="AR22" s="22"/>
      <c r="AS22" s="22"/>
    </row>
    <row r="23" spans="1:45" x14ac:dyDescent="0.3">
      <c r="A23" s="22"/>
      <c r="B23" s="184" t="str">
        <f>IF(O23="","","!")</f>
        <v/>
      </c>
      <c r="C23" s="420" t="str">
        <f>IF(INDEX(Status_Systeme,$A$2)=TRUE,"",IF(INDEX(Tabelle_Komponenten,3,12)="","",INDEX(Tabelle_Komponenten,3,12)))</f>
        <v>Luftein- und -auslässe (optional)</v>
      </c>
      <c r="D23" s="420"/>
      <c r="E23" s="420"/>
      <c r="F23" s="420"/>
      <c r="G23" s="406"/>
      <c r="H23" s="406"/>
      <c r="I23" s="406"/>
      <c r="J23" s="58">
        <f>IF(C23="","",VLOOKUP(C23,Tabelle_Kosten_Komponenten,2,FALSE))</f>
        <v>30</v>
      </c>
      <c r="K23" s="405" t="str">
        <f t="shared" si="0"/>
        <v/>
      </c>
      <c r="L23" s="405"/>
      <c r="M23" s="76"/>
      <c r="N23" s="178" t="str">
        <f>IF(O23="","","ï")</f>
        <v/>
      </c>
      <c r="O23" s="268" t="str">
        <f>IF(S23=TRUE,"",IF(LEN(C23)&gt;0,IF(G23="",TBS_Fehler_2,""),IF(G23="","",TBS_Fehler_3)))</f>
        <v/>
      </c>
      <c r="P23" s="22"/>
      <c r="Q23" s="22"/>
      <c r="R23" s="71"/>
      <c r="S23" s="72" t="b">
        <f>ISERROR(FIND("optional",C23))=FALSE</f>
        <v>1</v>
      </c>
      <c r="T23" s="72">
        <f>IF((Basis_Betrachtungszeitraum/J23)&lt;=1,0,IF((Basis_Betrachtungszeitraum/J23)&lt;=2,1,2))</f>
        <v>0</v>
      </c>
      <c r="U23" s="326">
        <f>IF(T23&lt;1,0,G23*IF($A$2=1,1,(1-Basis_Foerderung))*(1+Basis_Preisentwicklung_Produkte)^J23)</f>
        <v>0</v>
      </c>
      <c r="V23" s="326">
        <f>IF(T23&gt;1,G23*IF($A$2=1,1,(1-Basis_Foerderung))*(1+Basis_Preisentwicklung_Produkte)^(2*J23),0)</f>
        <v>0</v>
      </c>
      <c r="W23" s="326">
        <f>U23*(1/(1+Basis_Realzins))^J23+V23*(1/(1+Basis_Realzins))^(2*J23)</f>
        <v>0</v>
      </c>
      <c r="X23" s="73">
        <f>IF((INT(Basis_Betrachtungszeitraum/J23)=Basis_Betrachtungszeitraum/J23),1,(J23*(T23+1)-Basis_Betrachtungszeitraum)/J23)</f>
        <v>0.33333333333333331</v>
      </c>
      <c r="Y23" s="326">
        <f>IF(X23=1,0,IF(T23=0,G23*IF($A$2=1,1,(1-Basis_Foerderung)),INDEX(U23:V23,1,T23))*Basis_Diskontsatz*X23)</f>
        <v>0</v>
      </c>
      <c r="Z23" s="326">
        <f>G23*IF($A$2=1,1,(1-Basis_Foerderung))</f>
        <v>0</v>
      </c>
      <c r="AA23" s="71"/>
      <c r="AB23" s="71"/>
      <c r="AC23" s="22"/>
      <c r="AD23" s="22"/>
      <c r="AE23" s="22"/>
      <c r="AF23" s="22"/>
      <c r="AG23" s="22"/>
      <c r="AH23" s="22"/>
      <c r="AI23" s="22"/>
      <c r="AJ23" s="22"/>
      <c r="AK23" s="22"/>
      <c r="AL23" s="22"/>
      <c r="AM23" s="22"/>
      <c r="AN23" s="22"/>
      <c r="AO23" s="22"/>
      <c r="AP23" s="22"/>
      <c r="AQ23" s="22"/>
      <c r="AR23" s="22"/>
      <c r="AS23" s="22"/>
    </row>
    <row r="24" spans="1:45" ht="21" customHeight="1" x14ac:dyDescent="0.3">
      <c r="A24" s="22"/>
      <c r="B24" s="75"/>
      <c r="C24" s="242" t="str">
        <f>IF(INDEX(Status_Systeme,$A$2)=TRUE,"","B | BAULICHE MASSNAHMEN")</f>
        <v>B | BAULICHE MASSNAHMEN</v>
      </c>
      <c r="D24" s="188"/>
      <c r="E24" s="188"/>
      <c r="F24" s="188"/>
      <c r="G24" s="161"/>
      <c r="H24" s="161"/>
      <c r="I24" s="161"/>
      <c r="J24" s="188"/>
      <c r="K24" s="188"/>
      <c r="L24" s="188"/>
      <c r="M24" s="76"/>
      <c r="N24" s="78"/>
      <c r="O24" s="268"/>
      <c r="P24" s="64"/>
      <c r="Q24" s="22"/>
      <c r="R24" s="71"/>
      <c r="S24" s="71"/>
      <c r="T24" s="71"/>
      <c r="U24" s="71"/>
      <c r="V24" s="71"/>
      <c r="W24" s="71"/>
      <c r="X24" s="71"/>
      <c r="Y24" s="71"/>
      <c r="Z24" s="71"/>
      <c r="AA24" s="71"/>
      <c r="AB24" s="71"/>
      <c r="AC24" s="22"/>
      <c r="AD24" s="22"/>
      <c r="AE24" s="22"/>
      <c r="AF24" s="22"/>
      <c r="AG24" s="22"/>
      <c r="AH24" s="22"/>
      <c r="AI24" s="22"/>
      <c r="AJ24" s="22"/>
      <c r="AK24" s="22"/>
      <c r="AL24" s="22"/>
      <c r="AM24" s="22"/>
      <c r="AN24" s="22"/>
      <c r="AO24" s="22"/>
      <c r="AP24" s="22"/>
      <c r="AQ24" s="22"/>
      <c r="AR24" s="22"/>
      <c r="AS24" s="22"/>
    </row>
    <row r="25" spans="1:45" x14ac:dyDescent="0.3">
      <c r="A25" s="22"/>
      <c r="B25" s="184" t="str">
        <f t="shared" ref="B25:B31" si="1">IF(O25="","","!")</f>
        <v/>
      </c>
      <c r="C25" s="420" t="str">
        <f>IF(INDEX(Status_Systeme,$A$2)=TRUE,"",IF(INDEX(Tabelle_Komponenten,8,12)="","",INDEX(Tabelle_Komponenten,8,12)))</f>
        <v>Grabungsarbeiten (optional)</v>
      </c>
      <c r="D25" s="420"/>
      <c r="E25" s="420"/>
      <c r="F25" s="420"/>
      <c r="G25" s="406"/>
      <c r="H25" s="406"/>
      <c r="I25" s="406"/>
      <c r="J25" s="60">
        <f t="shared" ref="J25:J31" si="2">IF(C25="","",VLOOKUP(C25,Tabelle_Kosten_Komponenten,2,FALSE))</f>
        <v>50</v>
      </c>
      <c r="K25" s="405" t="str">
        <f t="shared" ref="K25" si="3">IF(OR(C25="",G25="",J25=""),"",Z25+W25-Y25)</f>
        <v/>
      </c>
      <c r="L25" s="405"/>
      <c r="M25" s="76"/>
      <c r="N25" s="178" t="str">
        <f t="shared" ref="N25:N31" si="4">IF(O25="","","ï")</f>
        <v/>
      </c>
      <c r="O25" s="268" t="str">
        <f t="shared" ref="O25:O31" si="5">IF(S25=TRUE,"",IF(LEN(C25)&gt;0,IF(G25="",TBS_Fehler_2,""),IF(G25="","",TBS_Fehler_3)))</f>
        <v/>
      </c>
      <c r="P25" s="272"/>
      <c r="Q25" s="22"/>
      <c r="R25" s="71"/>
      <c r="S25" s="72" t="b">
        <f>ISERROR(FIND("optional",C25))=FALSE</f>
        <v>1</v>
      </c>
      <c r="T25" s="72">
        <f t="shared" ref="T25:T31" si="6">IF((Basis_Betrachtungszeitraum/J25)&lt;=1,0,IF((Basis_Betrachtungszeitraum/J25)&lt;=2,1,2))</f>
        <v>0</v>
      </c>
      <c r="U25" s="326">
        <f t="shared" ref="U25:U31" si="7">IF(T25&lt;1,0,G25*IF($A$2=1,1,(1-Basis_Foerderung))*(1+Basis_Preisentwicklung_Produkte)^J25)</f>
        <v>0</v>
      </c>
      <c r="V25" s="326">
        <f t="shared" ref="V25:V31" si="8">IF(T25&gt;1,G25*IF($A$2=1,1,(1-Basis_Foerderung))*(1+Basis_Preisentwicklung_Produkte)^(2*J25),0)</f>
        <v>0</v>
      </c>
      <c r="W25" s="326">
        <f t="shared" ref="W25:W31" si="9">U25*(1/(1+Basis_Realzins))^J25+V25*(1/(1+Basis_Realzins))^(2*J25)</f>
        <v>0</v>
      </c>
      <c r="X25" s="73">
        <f t="shared" ref="X25:X31" si="10">IF((INT(Basis_Betrachtungszeitraum/J25)=Basis_Betrachtungszeitraum/J25),1,(J25*(T25+1)-Basis_Betrachtungszeitraum)/J25)</f>
        <v>0.6</v>
      </c>
      <c r="Y25" s="326">
        <f t="shared" ref="Y25:Y31" si="11">IF(X25=1,0,IF(T25=0,G25*IF($A$2=1,1,(1-Basis_Foerderung)),INDEX(U25:V25,1,T25))*Basis_Diskontsatz*X25)</f>
        <v>0</v>
      </c>
      <c r="Z25" s="326">
        <f t="shared" ref="Z25:Z31" si="12">G25*IF($A$2=1,1,(1-Basis_Foerderung))</f>
        <v>0</v>
      </c>
      <c r="AA25" s="71"/>
      <c r="AB25" s="71"/>
      <c r="AC25" s="22"/>
      <c r="AD25" s="22"/>
      <c r="AE25" s="22"/>
      <c r="AF25" s="22"/>
      <c r="AG25" s="22"/>
      <c r="AH25" s="22"/>
      <c r="AI25" s="22"/>
      <c r="AJ25" s="22"/>
      <c r="AK25" s="22"/>
      <c r="AL25" s="22"/>
      <c r="AM25" s="22"/>
      <c r="AN25" s="22"/>
      <c r="AO25" s="22"/>
      <c r="AP25" s="22"/>
      <c r="AQ25" s="22"/>
      <c r="AR25" s="22"/>
      <c r="AS25" s="22"/>
    </row>
    <row r="26" spans="1:45" x14ac:dyDescent="0.3">
      <c r="A26" s="22"/>
      <c r="B26" s="184" t="str">
        <f t="shared" si="1"/>
        <v/>
      </c>
      <c r="C26" s="414" t="str">
        <f>IF(INDEX(Status_Systeme,$A$2)=TRUE,"",IF(INDEX(Tabelle_Komponenten,9,12)="","",INDEX(Tabelle_Komponenten,9,12)))</f>
        <v/>
      </c>
      <c r="D26" s="414"/>
      <c r="E26" s="414"/>
      <c r="F26" s="414"/>
      <c r="G26" s="406"/>
      <c r="H26" s="406"/>
      <c r="I26" s="406"/>
      <c r="J26" s="60" t="str">
        <f t="shared" si="2"/>
        <v/>
      </c>
      <c r="K26" s="405" t="str">
        <f t="shared" ref="K26:K31" si="13">IF(OR(C26="",G26="",J26=""),"",Z26+W26-Y26)</f>
        <v/>
      </c>
      <c r="L26" s="405"/>
      <c r="M26" s="76"/>
      <c r="N26" s="178" t="str">
        <f t="shared" si="4"/>
        <v/>
      </c>
      <c r="O26" s="268" t="str">
        <f t="shared" si="5"/>
        <v/>
      </c>
      <c r="P26" s="65"/>
      <c r="Q26" s="22"/>
      <c r="R26" s="71"/>
      <c r="S26" s="72" t="b">
        <f>ISERROR(FIND("optional",C26))=FALSE</f>
        <v>0</v>
      </c>
      <c r="T26" s="72" t="e">
        <f t="shared" si="6"/>
        <v>#VALUE!</v>
      </c>
      <c r="U26" s="326" t="e">
        <f t="shared" si="7"/>
        <v>#VALUE!</v>
      </c>
      <c r="V26" s="326" t="e">
        <f t="shared" si="8"/>
        <v>#VALUE!</v>
      </c>
      <c r="W26" s="326" t="e">
        <f t="shared" si="9"/>
        <v>#VALUE!</v>
      </c>
      <c r="X26" s="73" t="e">
        <f t="shared" si="10"/>
        <v>#VALUE!</v>
      </c>
      <c r="Y26" s="326" t="e">
        <f t="shared" si="11"/>
        <v>#VALUE!</v>
      </c>
      <c r="Z26" s="326">
        <f t="shared" si="12"/>
        <v>0</v>
      </c>
      <c r="AA26" s="71"/>
      <c r="AB26" s="71"/>
      <c r="AC26" s="22"/>
      <c r="AD26" s="22"/>
      <c r="AE26" s="22"/>
      <c r="AF26" s="22"/>
      <c r="AG26" s="22"/>
      <c r="AH26" s="22"/>
      <c r="AI26" s="22"/>
      <c r="AJ26" s="22"/>
      <c r="AK26" s="22"/>
      <c r="AL26" s="22"/>
      <c r="AM26" s="22"/>
      <c r="AN26" s="22"/>
      <c r="AO26" s="22"/>
      <c r="AP26" s="22"/>
      <c r="AQ26" s="22"/>
      <c r="AR26" s="22"/>
      <c r="AS26" s="22"/>
    </row>
    <row r="27" spans="1:45" x14ac:dyDescent="0.3">
      <c r="A27" s="22"/>
      <c r="B27" s="184" t="str">
        <f t="shared" si="1"/>
        <v/>
      </c>
      <c r="C27" s="414" t="str">
        <f>IF(INDEX(Status_Systeme,$A$2)=TRUE,"",IF(INDEX(Tabelle_Komponenten,10,12)="","",INDEX(Tabelle_Komponenten,10,12)))</f>
        <v/>
      </c>
      <c r="D27" s="414"/>
      <c r="E27" s="414"/>
      <c r="F27" s="414"/>
      <c r="G27" s="406"/>
      <c r="H27" s="406"/>
      <c r="I27" s="406"/>
      <c r="J27" s="60" t="str">
        <f t="shared" si="2"/>
        <v/>
      </c>
      <c r="K27" s="405" t="str">
        <f t="shared" si="13"/>
        <v/>
      </c>
      <c r="L27" s="405"/>
      <c r="M27" s="76"/>
      <c r="N27" s="178" t="str">
        <f t="shared" si="4"/>
        <v/>
      </c>
      <c r="O27" s="268" t="str">
        <f t="shared" si="5"/>
        <v/>
      </c>
      <c r="P27" s="22"/>
      <c r="Q27" s="22"/>
      <c r="R27" s="71"/>
      <c r="S27" s="72" t="b">
        <f>ISERROR(FIND("optional",C27))=FALSE</f>
        <v>0</v>
      </c>
      <c r="T27" s="72" t="e">
        <f t="shared" si="6"/>
        <v>#VALUE!</v>
      </c>
      <c r="U27" s="326" t="e">
        <f t="shared" si="7"/>
        <v>#VALUE!</v>
      </c>
      <c r="V27" s="326" t="e">
        <f t="shared" si="8"/>
        <v>#VALUE!</v>
      </c>
      <c r="W27" s="326" t="e">
        <f t="shared" si="9"/>
        <v>#VALUE!</v>
      </c>
      <c r="X27" s="73" t="e">
        <f t="shared" si="10"/>
        <v>#VALUE!</v>
      </c>
      <c r="Y27" s="326" t="e">
        <f t="shared" si="11"/>
        <v>#VALUE!</v>
      </c>
      <c r="Z27" s="326">
        <f t="shared" si="12"/>
        <v>0</v>
      </c>
      <c r="AA27" s="71"/>
      <c r="AB27" s="71"/>
      <c r="AC27" s="22"/>
      <c r="AD27" s="22"/>
      <c r="AE27" s="22"/>
      <c r="AF27" s="22"/>
      <c r="AG27" s="22"/>
      <c r="AH27" s="22"/>
      <c r="AI27" s="22"/>
      <c r="AJ27" s="22"/>
      <c r="AK27" s="22"/>
      <c r="AL27" s="22"/>
      <c r="AM27" s="22"/>
      <c r="AN27" s="22"/>
      <c r="AO27" s="22"/>
      <c r="AP27" s="22"/>
      <c r="AQ27" s="22"/>
      <c r="AR27" s="22"/>
      <c r="AS27" s="22"/>
    </row>
    <row r="28" spans="1:45" x14ac:dyDescent="0.3">
      <c r="A28" s="22"/>
      <c r="B28" s="184" t="str">
        <f t="shared" si="1"/>
        <v/>
      </c>
      <c r="C28" s="414" t="str">
        <f>IF(INDEX(Status_Systeme,$A$2)=TRUE,"",IF(INDEX(Tabelle_Komponenten,11,12)="","",INDEX(Tabelle_Komponenten,11,12)))</f>
        <v/>
      </c>
      <c r="D28" s="414"/>
      <c r="E28" s="414"/>
      <c r="F28" s="414"/>
      <c r="G28" s="406"/>
      <c r="H28" s="406"/>
      <c r="I28" s="406"/>
      <c r="J28" s="60" t="str">
        <f t="shared" si="2"/>
        <v/>
      </c>
      <c r="K28" s="405" t="str">
        <f t="shared" si="13"/>
        <v/>
      </c>
      <c r="L28" s="405"/>
      <c r="M28" s="76"/>
      <c r="N28" s="178" t="str">
        <f t="shared" si="4"/>
        <v/>
      </c>
      <c r="O28" s="268" t="str">
        <f t="shared" si="5"/>
        <v/>
      </c>
      <c r="P28" s="22"/>
      <c r="Q28" s="22"/>
      <c r="R28" s="71"/>
      <c r="S28" s="72" t="b">
        <f>ISERROR(FIND("optional",C28))=FALSE</f>
        <v>0</v>
      </c>
      <c r="T28" s="72" t="e">
        <f t="shared" si="6"/>
        <v>#VALUE!</v>
      </c>
      <c r="U28" s="326" t="e">
        <f t="shared" si="7"/>
        <v>#VALUE!</v>
      </c>
      <c r="V28" s="326" t="e">
        <f t="shared" si="8"/>
        <v>#VALUE!</v>
      </c>
      <c r="W28" s="326" t="e">
        <f t="shared" si="9"/>
        <v>#VALUE!</v>
      </c>
      <c r="X28" s="73" t="e">
        <f t="shared" si="10"/>
        <v>#VALUE!</v>
      </c>
      <c r="Y28" s="326" t="e">
        <f t="shared" si="11"/>
        <v>#VALUE!</v>
      </c>
      <c r="Z28" s="326">
        <f t="shared" si="12"/>
        <v>0</v>
      </c>
      <c r="AA28" s="71"/>
      <c r="AB28" s="71"/>
      <c r="AC28" s="22"/>
      <c r="AD28" s="22"/>
      <c r="AE28" s="22"/>
      <c r="AF28" s="22"/>
      <c r="AG28" s="22"/>
      <c r="AH28" s="22"/>
      <c r="AI28" s="22"/>
      <c r="AJ28" s="22"/>
      <c r="AK28" s="22"/>
      <c r="AL28" s="22"/>
      <c r="AM28" s="22"/>
      <c r="AN28" s="22"/>
      <c r="AO28" s="22"/>
      <c r="AP28" s="22"/>
      <c r="AQ28" s="22"/>
      <c r="AR28" s="22"/>
      <c r="AS28" s="22"/>
    </row>
    <row r="29" spans="1:45" x14ac:dyDescent="0.3">
      <c r="A29" s="22"/>
      <c r="B29" s="184" t="str">
        <f t="shared" si="1"/>
        <v/>
      </c>
      <c r="C29" s="414" t="str">
        <f>IF(INDEX(Status_Systeme,$A$2)=TRUE,"",IF(INDEX(Tabelle_Komponenten,12,12)="","",INDEX(Tabelle_Komponenten,12,12)))</f>
        <v/>
      </c>
      <c r="D29" s="414"/>
      <c r="E29" s="414"/>
      <c r="F29" s="414"/>
      <c r="G29" s="406"/>
      <c r="H29" s="406"/>
      <c r="I29" s="406"/>
      <c r="J29" s="60" t="str">
        <f t="shared" si="2"/>
        <v/>
      </c>
      <c r="K29" s="405" t="str">
        <f t="shared" si="13"/>
        <v/>
      </c>
      <c r="L29" s="405"/>
      <c r="M29" s="76"/>
      <c r="N29" s="178" t="str">
        <f t="shared" si="4"/>
        <v/>
      </c>
      <c r="O29" s="268" t="str">
        <f t="shared" si="5"/>
        <v/>
      </c>
      <c r="P29" s="22"/>
      <c r="Q29" s="22"/>
      <c r="R29" s="71"/>
      <c r="S29" s="72" t="b">
        <f>ISERROR(FIND("optional",C29))=FALSE</f>
        <v>0</v>
      </c>
      <c r="T29" s="72" t="e">
        <f t="shared" si="6"/>
        <v>#VALUE!</v>
      </c>
      <c r="U29" s="326" t="e">
        <f t="shared" si="7"/>
        <v>#VALUE!</v>
      </c>
      <c r="V29" s="326" t="e">
        <f t="shared" si="8"/>
        <v>#VALUE!</v>
      </c>
      <c r="W29" s="326" t="e">
        <f t="shared" si="9"/>
        <v>#VALUE!</v>
      </c>
      <c r="X29" s="73" t="e">
        <f t="shared" si="10"/>
        <v>#VALUE!</v>
      </c>
      <c r="Y29" s="326" t="e">
        <f t="shared" si="11"/>
        <v>#VALUE!</v>
      </c>
      <c r="Z29" s="326">
        <f t="shared" si="12"/>
        <v>0</v>
      </c>
      <c r="AA29" s="71"/>
      <c r="AB29" s="71"/>
      <c r="AC29" s="22"/>
      <c r="AD29" s="22"/>
      <c r="AE29" s="22"/>
      <c r="AF29" s="22"/>
      <c r="AG29" s="22"/>
      <c r="AH29" s="22"/>
      <c r="AI29" s="22"/>
      <c r="AJ29" s="22"/>
      <c r="AK29" s="22"/>
      <c r="AL29" s="22"/>
      <c r="AM29" s="22"/>
      <c r="AN29" s="22"/>
      <c r="AO29" s="22"/>
      <c r="AP29" s="22"/>
      <c r="AQ29" s="22"/>
      <c r="AR29" s="22"/>
      <c r="AS29" s="22"/>
    </row>
    <row r="30" spans="1:45" x14ac:dyDescent="0.3">
      <c r="A30" s="22"/>
      <c r="B30" s="184" t="str">
        <f t="shared" si="1"/>
        <v/>
      </c>
      <c r="C30" s="414" t="str">
        <f>IF(INDEX(Status_Systeme,$A$2)=TRUE,"",IF(INDEX(Tabelle_Komponenten,5,12)="","",INDEX(Tabelle_Komponenten,5,12)))</f>
        <v/>
      </c>
      <c r="D30" s="414"/>
      <c r="E30" s="414"/>
      <c r="F30" s="414"/>
      <c r="G30" s="406"/>
      <c r="H30" s="406"/>
      <c r="I30" s="406"/>
      <c r="J30" s="60" t="str">
        <f t="shared" si="2"/>
        <v/>
      </c>
      <c r="K30" s="405" t="str">
        <f t="shared" si="13"/>
        <v/>
      </c>
      <c r="L30" s="405"/>
      <c r="M30" s="76"/>
      <c r="N30" s="178" t="str">
        <f t="shared" si="4"/>
        <v/>
      </c>
      <c r="O30" s="268" t="str">
        <f t="shared" si="5"/>
        <v/>
      </c>
      <c r="P30" s="22"/>
      <c r="Q30" s="22"/>
      <c r="R30" s="71"/>
      <c r="S30" s="72" t="b">
        <f t="shared" ref="S30:S31" si="14">ISERROR(FIND("optional",C30))=FALSE</f>
        <v>0</v>
      </c>
      <c r="T30" s="72" t="e">
        <f t="shared" si="6"/>
        <v>#VALUE!</v>
      </c>
      <c r="U30" s="326" t="e">
        <f t="shared" si="7"/>
        <v>#VALUE!</v>
      </c>
      <c r="V30" s="326" t="e">
        <f t="shared" si="8"/>
        <v>#VALUE!</v>
      </c>
      <c r="W30" s="326" t="e">
        <f t="shared" si="9"/>
        <v>#VALUE!</v>
      </c>
      <c r="X30" s="73" t="e">
        <f t="shared" si="10"/>
        <v>#VALUE!</v>
      </c>
      <c r="Y30" s="326" t="e">
        <f t="shared" si="11"/>
        <v>#VALUE!</v>
      </c>
      <c r="Z30" s="326">
        <f t="shared" si="12"/>
        <v>0</v>
      </c>
      <c r="AA30" s="71"/>
      <c r="AB30" s="71"/>
      <c r="AC30" s="22"/>
      <c r="AD30" s="22"/>
      <c r="AE30" s="22"/>
      <c r="AF30" s="22"/>
      <c r="AG30" s="22"/>
      <c r="AH30" s="22"/>
      <c r="AI30" s="22"/>
      <c r="AJ30" s="22"/>
      <c r="AK30" s="22"/>
      <c r="AL30" s="22"/>
      <c r="AM30" s="22"/>
      <c r="AN30" s="22"/>
      <c r="AO30" s="22"/>
      <c r="AP30" s="22"/>
      <c r="AQ30" s="22"/>
      <c r="AR30" s="22"/>
      <c r="AS30" s="22"/>
    </row>
    <row r="31" spans="1:45" x14ac:dyDescent="0.3">
      <c r="A31" s="22"/>
      <c r="B31" s="184" t="str">
        <f t="shared" si="1"/>
        <v/>
      </c>
      <c r="C31" s="414" t="str">
        <f>IF(INDEX(Status_Systeme,$A$2)=TRUE,"",IF(INDEX(Tabelle_Komponenten,6,12)="","",INDEX(Tabelle_Komponenten,6,12)))</f>
        <v/>
      </c>
      <c r="D31" s="414"/>
      <c r="E31" s="414"/>
      <c r="F31" s="414"/>
      <c r="G31" s="406"/>
      <c r="H31" s="406"/>
      <c r="I31" s="406"/>
      <c r="J31" s="60" t="str">
        <f t="shared" si="2"/>
        <v/>
      </c>
      <c r="K31" s="405" t="str">
        <f t="shared" si="13"/>
        <v/>
      </c>
      <c r="L31" s="405"/>
      <c r="M31" s="76"/>
      <c r="N31" s="178" t="str">
        <f t="shared" si="4"/>
        <v/>
      </c>
      <c r="O31" s="268" t="str">
        <f t="shared" si="5"/>
        <v/>
      </c>
      <c r="P31" s="22"/>
      <c r="Q31" s="22"/>
      <c r="R31" s="71"/>
      <c r="S31" s="72" t="b">
        <f t="shared" si="14"/>
        <v>0</v>
      </c>
      <c r="T31" s="72" t="e">
        <f t="shared" si="6"/>
        <v>#VALUE!</v>
      </c>
      <c r="U31" s="326" t="e">
        <f t="shared" si="7"/>
        <v>#VALUE!</v>
      </c>
      <c r="V31" s="326" t="e">
        <f t="shared" si="8"/>
        <v>#VALUE!</v>
      </c>
      <c r="W31" s="326" t="e">
        <f t="shared" si="9"/>
        <v>#VALUE!</v>
      </c>
      <c r="X31" s="73" t="e">
        <f t="shared" si="10"/>
        <v>#VALUE!</v>
      </c>
      <c r="Y31" s="326" t="e">
        <f t="shared" si="11"/>
        <v>#VALUE!</v>
      </c>
      <c r="Z31" s="326">
        <f t="shared" si="12"/>
        <v>0</v>
      </c>
      <c r="AA31" s="71"/>
      <c r="AB31" s="71"/>
      <c r="AC31" s="22"/>
      <c r="AD31" s="22"/>
      <c r="AE31" s="22"/>
      <c r="AF31" s="22"/>
      <c r="AG31" s="22"/>
      <c r="AH31" s="22"/>
      <c r="AI31" s="22"/>
      <c r="AJ31" s="22"/>
      <c r="AK31" s="22"/>
      <c r="AL31" s="22"/>
      <c r="AM31" s="22"/>
      <c r="AN31" s="22"/>
      <c r="AO31" s="22"/>
      <c r="AP31" s="22"/>
      <c r="AQ31" s="22"/>
      <c r="AR31" s="22"/>
      <c r="AS31" s="22"/>
    </row>
    <row r="32" spans="1:45" ht="21" customHeight="1" x14ac:dyDescent="0.3">
      <c r="A32" s="22"/>
      <c r="B32" s="75"/>
      <c r="C32" s="242" t="str">
        <f>IF(INDEX(Status_Systeme,$A$2)=TRUE,"","C | FREIE EINGABE")</f>
        <v>C | FREIE EINGABE</v>
      </c>
      <c r="D32" s="188"/>
      <c r="E32" s="188"/>
      <c r="F32" s="188"/>
      <c r="G32" s="161"/>
      <c r="H32" s="161"/>
      <c r="I32" s="161"/>
      <c r="J32" s="188"/>
      <c r="K32" s="188"/>
      <c r="L32" s="188"/>
      <c r="M32" s="76"/>
      <c r="N32" s="78"/>
      <c r="O32" s="30"/>
      <c r="P32" s="22"/>
      <c r="Q32" s="22"/>
      <c r="R32" s="71"/>
      <c r="S32" s="71"/>
      <c r="T32" s="71"/>
      <c r="U32" s="71"/>
      <c r="V32" s="71"/>
      <c r="W32" s="71"/>
      <c r="X32" s="71"/>
      <c r="Y32" s="71"/>
      <c r="Z32" s="71"/>
      <c r="AA32" s="71"/>
      <c r="AB32" s="71"/>
      <c r="AC32" s="22"/>
      <c r="AD32" s="22"/>
      <c r="AE32" s="22"/>
      <c r="AF32" s="22"/>
      <c r="AG32" s="22"/>
      <c r="AH32" s="22"/>
      <c r="AI32" s="22"/>
      <c r="AJ32" s="22"/>
      <c r="AK32" s="22"/>
      <c r="AL32" s="22"/>
      <c r="AM32" s="22"/>
      <c r="AN32" s="22"/>
      <c r="AO32" s="22"/>
      <c r="AP32" s="22"/>
      <c r="AQ32" s="22"/>
      <c r="AR32" s="22"/>
      <c r="AS32" s="22"/>
    </row>
    <row r="33" spans="1:45" x14ac:dyDescent="0.3">
      <c r="A33" s="22"/>
      <c r="B33" s="184" t="str">
        <f>IF(O33="","","!")</f>
        <v/>
      </c>
      <c r="C33" s="422"/>
      <c r="D33" s="422"/>
      <c r="E33" s="422"/>
      <c r="F33" s="422"/>
      <c r="G33" s="406"/>
      <c r="H33" s="406"/>
      <c r="I33" s="406"/>
      <c r="J33" s="191"/>
      <c r="K33" s="405" t="str">
        <f t="shared" ref="K33" si="15">IF(OR(C33="",G33="",J33=""),"",Z33+W33-Y33)</f>
        <v/>
      </c>
      <c r="L33" s="405"/>
      <c r="M33" s="76"/>
      <c r="N33" s="178" t="str">
        <f>IF(O33="","","ï")</f>
        <v/>
      </c>
      <c r="O33" s="221" t="str">
        <f>IF(AND(INDEX(Status_Systeme,$A$2)=TRUE,S33&gt;0),TBS_Fehler_3,IF(OR(S33=0,S33=3),"",TBS_Fehler_2))</f>
        <v/>
      </c>
      <c r="P33" s="22"/>
      <c r="Q33" s="22"/>
      <c r="R33" s="71"/>
      <c r="S33" s="72">
        <f>COUNTA(C33,G33,J33)</f>
        <v>0</v>
      </c>
      <c r="T33" s="72" t="e">
        <f>IF((Basis_Betrachtungszeitraum/J33)&lt;=1,0,IF((Basis_Betrachtungszeitraum/J33)&lt;=2,1,2))</f>
        <v>#DIV/0!</v>
      </c>
      <c r="U33" s="326" t="e">
        <f>IF(T33&lt;1,0,G33*IF($A$2=1,1,(1-Basis_Foerderung))*(1+Basis_Preisentwicklung_Produkte)^J33)</f>
        <v>#DIV/0!</v>
      </c>
      <c r="V33" s="326" t="e">
        <f>IF(T33&gt;1,G33*IF($A$2=1,1,(1-Basis_Foerderung))*(1+Basis_Preisentwicklung_Produkte)^(2*J33),0)</f>
        <v>#DIV/0!</v>
      </c>
      <c r="W33" s="326" t="e">
        <f>U33*(1/(1+Basis_Realzins))^J33+V33*(1/(1+Basis_Realzins))^(2*J33)</f>
        <v>#DIV/0!</v>
      </c>
      <c r="X33" s="73" t="e">
        <f>IF((INT(Basis_Betrachtungszeitraum/J33)=Basis_Betrachtungszeitraum/J33),1,(J33*(T33+1)-Basis_Betrachtungszeitraum)/J33)</f>
        <v>#DIV/0!</v>
      </c>
      <c r="Y33" s="326" t="e">
        <f>IF(X33=1,0,IF(T33=0,G33*IF($A$2=1,1,(1-Basis_Foerderung)),INDEX(U33:V33,1,T33))*Basis_Diskontsatz*X33)</f>
        <v>#DIV/0!</v>
      </c>
      <c r="Z33" s="326">
        <f>G33*IF($A$2=1,1,(1-Basis_Foerderung))</f>
        <v>0</v>
      </c>
      <c r="AA33" s="71"/>
      <c r="AB33" s="71"/>
      <c r="AC33" s="22"/>
      <c r="AD33" s="22"/>
      <c r="AE33" s="22"/>
      <c r="AF33" s="22"/>
      <c r="AG33" s="22"/>
      <c r="AH33" s="22"/>
      <c r="AI33" s="22"/>
      <c r="AJ33" s="22"/>
      <c r="AK33" s="22"/>
      <c r="AL33" s="22"/>
      <c r="AM33" s="22"/>
      <c r="AN33" s="22"/>
      <c r="AO33" s="22"/>
      <c r="AP33" s="22"/>
      <c r="AQ33" s="22"/>
      <c r="AR33" s="22"/>
      <c r="AS33" s="22"/>
    </row>
    <row r="34" spans="1:45" x14ac:dyDescent="0.3">
      <c r="A34" s="22"/>
      <c r="B34" s="184" t="str">
        <f>IF(O34="","","!")</f>
        <v/>
      </c>
      <c r="C34" s="423"/>
      <c r="D34" s="423"/>
      <c r="E34" s="423"/>
      <c r="F34" s="423"/>
      <c r="G34" s="406"/>
      <c r="H34" s="406"/>
      <c r="I34" s="406"/>
      <c r="J34" s="192"/>
      <c r="K34" s="405" t="str">
        <f t="shared" ref="K34:K35" si="16">IF(OR(C34="",G34="",J34=""),"",Z34+W34-Y34)</f>
        <v/>
      </c>
      <c r="L34" s="405"/>
      <c r="M34" s="76"/>
      <c r="N34" s="178" t="str">
        <f>IF(O34="","","ï")</f>
        <v/>
      </c>
      <c r="O34" s="221" t="str">
        <f>IF(AND(INDEX(Status_Systeme,$A$2)=TRUE,S34&gt;0),TBS_Fehler_3,IF(OR(S34=0,S34=3),"",TBS_Fehler_2))</f>
        <v/>
      </c>
      <c r="P34" s="22"/>
      <c r="Q34" s="22"/>
      <c r="R34" s="71"/>
      <c r="S34" s="72">
        <f>COUNTA(C34,G34,J34)</f>
        <v>0</v>
      </c>
      <c r="T34" s="72" t="e">
        <f>IF((Basis_Betrachtungszeitraum/J34)&lt;=1,0,IF((Basis_Betrachtungszeitraum/J34)&lt;=2,1,2))</f>
        <v>#DIV/0!</v>
      </c>
      <c r="U34" s="326" t="e">
        <f>IF(T34&lt;1,0,G34*IF($A$2=1,1,(1-Basis_Foerderung))*(1+Basis_Preisentwicklung_Produkte)^J34)</f>
        <v>#DIV/0!</v>
      </c>
      <c r="V34" s="326" t="e">
        <f>IF(T34&gt;1,G34*IF($A$2=1,1,(1-Basis_Foerderung))*(1+Basis_Preisentwicklung_Produkte)^(2*J34),0)</f>
        <v>#DIV/0!</v>
      </c>
      <c r="W34" s="326" t="e">
        <f>U34*(1/(1+Basis_Realzins))^J34+V34*(1/(1+Basis_Realzins))^(2*J34)</f>
        <v>#DIV/0!</v>
      </c>
      <c r="X34" s="73" t="e">
        <f>IF((INT(Basis_Betrachtungszeitraum/J34)=Basis_Betrachtungszeitraum/J34),1,(J34*(T34+1)-Basis_Betrachtungszeitraum)/J34)</f>
        <v>#DIV/0!</v>
      </c>
      <c r="Y34" s="326" t="e">
        <f>IF(X34=1,0,IF(T34=0,G34*IF($A$2=1,1,(1-Basis_Foerderung)),INDEX(U34:V34,1,T34))*Basis_Diskontsatz*X34)</f>
        <v>#DIV/0!</v>
      </c>
      <c r="Z34" s="326">
        <f>G34*IF($A$2=1,1,(1-Basis_Foerderung))</f>
        <v>0</v>
      </c>
      <c r="AA34" s="71"/>
      <c r="AB34" s="71"/>
      <c r="AC34" s="22"/>
      <c r="AD34" s="22"/>
      <c r="AE34" s="22"/>
      <c r="AF34" s="22"/>
      <c r="AG34" s="22"/>
      <c r="AH34" s="22"/>
      <c r="AI34" s="22"/>
      <c r="AJ34" s="22"/>
      <c r="AK34" s="22"/>
      <c r="AL34" s="22"/>
      <c r="AM34" s="22"/>
      <c r="AN34" s="22"/>
      <c r="AO34" s="22"/>
      <c r="AP34" s="22"/>
      <c r="AQ34" s="22"/>
      <c r="AR34" s="22"/>
      <c r="AS34" s="22"/>
    </row>
    <row r="35" spans="1:45" x14ac:dyDescent="0.3">
      <c r="A35" s="22"/>
      <c r="B35" s="184" t="str">
        <f>IF(O35="","","!")</f>
        <v/>
      </c>
      <c r="C35" s="423"/>
      <c r="D35" s="423"/>
      <c r="E35" s="423"/>
      <c r="F35" s="423"/>
      <c r="G35" s="406"/>
      <c r="H35" s="406"/>
      <c r="I35" s="406"/>
      <c r="J35" s="192"/>
      <c r="K35" s="405" t="str">
        <f t="shared" si="16"/>
        <v/>
      </c>
      <c r="L35" s="405"/>
      <c r="M35" s="76"/>
      <c r="N35" s="178" t="str">
        <f>IF(O35="","","ï")</f>
        <v/>
      </c>
      <c r="O35" s="221" t="str">
        <f>IF(AND(INDEX(Status_Systeme,$A$2)=TRUE,S35&gt;0),TBS_Fehler_3,IF(OR(S35=0,S35=3),"",TBS_Fehler_2))</f>
        <v/>
      </c>
      <c r="P35" s="22"/>
      <c r="Q35" s="22"/>
      <c r="R35" s="71"/>
      <c r="S35" s="72">
        <f>COUNTA(C35,G35,J35)</f>
        <v>0</v>
      </c>
      <c r="T35" s="72" t="e">
        <f>IF((Basis_Betrachtungszeitraum/J35)&lt;=1,0,IF((Basis_Betrachtungszeitraum/J35)&lt;=2,1,2))</f>
        <v>#DIV/0!</v>
      </c>
      <c r="U35" s="326" t="e">
        <f>IF(T35&lt;1,0,G35*IF($A$2=1,1,(1-Basis_Foerderung))*(1+Basis_Preisentwicklung_Produkte)^J35)</f>
        <v>#DIV/0!</v>
      </c>
      <c r="V35" s="326" t="e">
        <f>IF(T35&gt;1,G35*IF($A$2=1,1,(1-Basis_Foerderung))*(1+Basis_Preisentwicklung_Produkte)^(2*J35),0)</f>
        <v>#DIV/0!</v>
      </c>
      <c r="W35" s="326" t="e">
        <f>U35*(1/(1+Basis_Realzins))^J35+V35*(1/(1+Basis_Realzins))^(2*J35)</f>
        <v>#DIV/0!</v>
      </c>
      <c r="X35" s="73" t="e">
        <f>IF((INT(Basis_Betrachtungszeitraum/J35)=Basis_Betrachtungszeitraum/J35),1,(J35*(T35+1)-Basis_Betrachtungszeitraum)/J35)</f>
        <v>#DIV/0!</v>
      </c>
      <c r="Y35" s="326" t="e">
        <f>IF(X35=1,0,IF(T35=0,G35*IF($A$2=1,1,(1-Basis_Foerderung)),INDEX(U35:V35,1,T35))*Basis_Diskontsatz*X35)</f>
        <v>#DIV/0!</v>
      </c>
      <c r="Z35" s="326">
        <f>G35*IF($A$2=1,1,(1-Basis_Foerderung))</f>
        <v>0</v>
      </c>
      <c r="AA35" s="71"/>
      <c r="AB35" s="71"/>
      <c r="AC35" s="22"/>
      <c r="AD35" s="22"/>
      <c r="AE35" s="22"/>
      <c r="AF35" s="22"/>
      <c r="AG35" s="22"/>
      <c r="AH35" s="22"/>
      <c r="AI35" s="22"/>
      <c r="AJ35" s="22"/>
      <c r="AK35" s="22"/>
      <c r="AL35" s="22"/>
      <c r="AM35" s="22"/>
      <c r="AN35" s="22"/>
      <c r="AO35" s="22"/>
      <c r="AP35" s="22"/>
      <c r="AQ35" s="22"/>
      <c r="AR35" s="22"/>
      <c r="AS35" s="22"/>
    </row>
    <row r="36" spans="1:45" ht="21" customHeight="1" x14ac:dyDescent="0.3">
      <c r="A36" s="22"/>
      <c r="B36" s="75"/>
      <c r="C36" s="242" t="str">
        <f>IF(INDEX(Status_Systeme,$A$2)=TRUE,"","D | SUMME")</f>
        <v>D | SUMME</v>
      </c>
      <c r="D36" s="188"/>
      <c r="E36" s="188"/>
      <c r="F36" s="188"/>
      <c r="G36" s="161"/>
      <c r="H36" s="161"/>
      <c r="I36" s="161"/>
      <c r="J36" s="188"/>
      <c r="K36" s="412" t="str">
        <f>IF(INDEX(Status_Systeme,$A$2)=TRUE,"",IF(SUM(K20:L35)=0,"",SUM(K20:L35)))</f>
        <v/>
      </c>
      <c r="L36" s="413"/>
      <c r="M36" s="76"/>
      <c r="N36" s="78"/>
      <c r="O36" s="30"/>
      <c r="P36" s="22"/>
      <c r="Q36" s="22"/>
      <c r="R36" s="71"/>
      <c r="S36" s="71"/>
      <c r="T36" s="71"/>
      <c r="U36" s="71"/>
      <c r="V36" s="71"/>
      <c r="W36" s="71"/>
      <c r="X36" s="71"/>
      <c r="Y36" s="71"/>
      <c r="Z36" s="71"/>
      <c r="AA36" s="71"/>
      <c r="AB36" s="71"/>
      <c r="AC36" s="22"/>
      <c r="AD36" s="22"/>
      <c r="AE36" s="22"/>
      <c r="AF36" s="22"/>
      <c r="AG36" s="22"/>
      <c r="AH36" s="22"/>
      <c r="AI36" s="22"/>
      <c r="AJ36" s="22"/>
      <c r="AK36" s="22"/>
      <c r="AL36" s="22"/>
      <c r="AM36" s="22"/>
      <c r="AN36" s="22"/>
      <c r="AO36" s="22"/>
      <c r="AP36" s="22"/>
      <c r="AQ36" s="22"/>
      <c r="AR36" s="22"/>
      <c r="AS36" s="22"/>
    </row>
    <row r="37" spans="1:45" ht="30" customHeight="1" x14ac:dyDescent="0.3">
      <c r="A37" s="22"/>
      <c r="B37" s="75"/>
      <c r="C37" s="424"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24"/>
      <c r="E37" s="424"/>
      <c r="F37" s="424"/>
      <c r="G37" s="424"/>
      <c r="H37" s="424"/>
      <c r="I37" s="424"/>
      <c r="J37" s="424"/>
      <c r="K37" s="424"/>
      <c r="L37" s="424"/>
      <c r="M37" s="76"/>
      <c r="N37" s="78"/>
      <c r="O37" s="30"/>
      <c r="P37" s="22"/>
      <c r="Q37" s="22"/>
      <c r="R37" s="71"/>
      <c r="S37" s="71"/>
      <c r="T37" s="71"/>
      <c r="U37" s="71"/>
      <c r="V37" s="71"/>
      <c r="W37" s="71"/>
      <c r="X37" s="71"/>
      <c r="Y37" s="71"/>
      <c r="Z37" s="71"/>
      <c r="AA37" s="71"/>
      <c r="AB37" s="71"/>
      <c r="AC37" s="22"/>
      <c r="AD37" s="22"/>
      <c r="AE37" s="22"/>
      <c r="AF37" s="22"/>
      <c r="AG37" s="22"/>
      <c r="AH37" s="22"/>
      <c r="AI37" s="22"/>
      <c r="AJ37" s="22"/>
      <c r="AK37" s="22"/>
      <c r="AL37" s="22"/>
      <c r="AM37" s="22"/>
      <c r="AN37" s="22"/>
      <c r="AO37" s="22"/>
      <c r="AP37" s="22"/>
      <c r="AQ37" s="22"/>
      <c r="AR37" s="22"/>
      <c r="AS37" s="22"/>
    </row>
    <row r="38" spans="1:45" ht="16.5" customHeight="1" x14ac:dyDescent="0.3">
      <c r="A38" s="22"/>
      <c r="B38" s="75"/>
      <c r="C38" s="415" t="str">
        <f>IF(INDEX(Status_Systeme,$A$2)=TRUE,"",$A$2&amp;".3 "&amp;UPPER(INDEX(Auswahl!$P$2:$P$6,3)))</f>
        <v>4.3 BETRIEBSKOSTEN</v>
      </c>
      <c r="D38" s="415"/>
      <c r="E38" s="415"/>
      <c r="F38" s="415"/>
      <c r="G38" s="160"/>
      <c r="H38" s="160"/>
      <c r="I38" s="160"/>
      <c r="J38" s="410" t="str">
        <f>IF(INDEX(Status_Systeme,$A$2)=TRUE,"","laufende Kosten"&amp;IF(C41="","","²")&amp;" [€/a]")</f>
        <v>laufende Kosten [€/a]</v>
      </c>
      <c r="K38" s="408" t="str">
        <f>IF(INDEX(Status_Systeme,$A$2)=TRUE,"","Gesamtkosten"&amp;CHAR(2)&amp;CHAR(10)&amp;"nach "&amp;Basis_Betrachtungszeitraum&amp;"a [€]"&amp;CHAR(2))</f>
        <v>Gesamtkosten_x0002_
nach 20a [€]_x0002_</v>
      </c>
      <c r="L38" s="408"/>
      <c r="M38" s="76"/>
      <c r="N38" s="78"/>
      <c r="O38" s="30"/>
      <c r="P38" s="22"/>
      <c r="Q38" s="22"/>
      <c r="R38" s="71"/>
      <c r="S38" s="71"/>
      <c r="T38" s="71"/>
      <c r="U38" s="128"/>
      <c r="V38" s="128"/>
      <c r="W38" s="71"/>
      <c r="X38" s="71"/>
      <c r="Y38" s="71"/>
      <c r="Z38" s="71"/>
      <c r="AA38" s="71"/>
      <c r="AB38" s="71"/>
      <c r="AC38" s="22"/>
      <c r="AD38" s="22"/>
      <c r="AE38" s="22"/>
      <c r="AF38" s="22"/>
      <c r="AG38" s="22"/>
      <c r="AH38" s="22"/>
      <c r="AI38" s="22"/>
      <c r="AJ38" s="22"/>
      <c r="AK38" s="22"/>
      <c r="AL38" s="22"/>
      <c r="AM38" s="22"/>
      <c r="AN38" s="22"/>
      <c r="AO38" s="22"/>
      <c r="AP38" s="22"/>
      <c r="AQ38" s="22"/>
      <c r="AR38" s="22"/>
      <c r="AS38" s="22"/>
    </row>
    <row r="39" spans="1:45" ht="21" customHeight="1" x14ac:dyDescent="0.3">
      <c r="A39" s="22"/>
      <c r="B39" s="75"/>
      <c r="C39" s="416"/>
      <c r="D39" s="416"/>
      <c r="E39" s="416"/>
      <c r="F39" s="416"/>
      <c r="G39" s="417"/>
      <c r="H39" s="417"/>
      <c r="I39" s="417"/>
      <c r="J39" s="411"/>
      <c r="K39" s="409"/>
      <c r="L39" s="409"/>
      <c r="M39" s="76"/>
      <c r="N39" s="78"/>
      <c r="O39" s="30"/>
      <c r="P39" s="22"/>
      <c r="Q39" s="22"/>
      <c r="R39" s="71"/>
      <c r="S39" s="71"/>
      <c r="T39" s="71"/>
      <c r="U39" s="128"/>
      <c r="V39" s="128"/>
      <c r="W39" s="71"/>
      <c r="X39" s="71"/>
      <c r="Y39" s="71"/>
      <c r="Z39" s="71"/>
      <c r="AA39" s="71"/>
      <c r="AB39" s="71"/>
      <c r="AC39" s="22"/>
      <c r="AD39" s="22"/>
      <c r="AE39" s="22"/>
      <c r="AF39" s="22"/>
      <c r="AG39" s="22"/>
      <c r="AH39" s="22"/>
      <c r="AI39" s="22"/>
      <c r="AJ39" s="22"/>
      <c r="AK39" s="22"/>
      <c r="AL39" s="22"/>
      <c r="AM39" s="22"/>
      <c r="AN39" s="22"/>
      <c r="AO39" s="22"/>
      <c r="AP39" s="22"/>
      <c r="AQ39" s="22"/>
      <c r="AR39" s="22"/>
      <c r="AS39" s="22"/>
    </row>
    <row r="40" spans="1:45" x14ac:dyDescent="0.3">
      <c r="A40" s="22"/>
      <c r="B40" s="75"/>
      <c r="C40" s="420" t="str">
        <f>IF(INDEX(Status_Systeme,$A$2)=TRUE,"","Wartung und Instandhaltung")</f>
        <v>Wartung und Instandhaltung</v>
      </c>
      <c r="D40" s="420"/>
      <c r="E40" s="420"/>
      <c r="F40" s="420"/>
      <c r="G40" s="421"/>
      <c r="H40" s="421"/>
      <c r="I40" s="421"/>
      <c r="J40" s="256" t="str">
        <f>IF(INDEX(Status_Systeme,$A$2)=TRUE,"",INDEX(Basis_BK_calc,$A$2))</f>
        <v>---</v>
      </c>
      <c r="K40" s="405" t="e">
        <f>IF(J40="","",J40*Basis_Barwertfaktor*Basis_Barwertfaktor_Instandhaltung)</f>
        <v>#VALUE!</v>
      </c>
      <c r="L40" s="405"/>
      <c r="M40" s="76"/>
      <c r="N40" s="78"/>
      <c r="O40" s="30"/>
      <c r="P40" s="55"/>
      <c r="Q40" s="55"/>
      <c r="R40" s="71"/>
      <c r="S40" s="106"/>
      <c r="T40" s="71"/>
      <c r="U40" s="128"/>
      <c r="V40" s="128"/>
      <c r="W40" s="71"/>
      <c r="X40" s="71"/>
      <c r="Y40" s="71"/>
      <c r="Z40" s="71"/>
      <c r="AA40" s="71"/>
      <c r="AB40" s="71"/>
      <c r="AC40" s="22"/>
      <c r="AD40" s="22"/>
      <c r="AE40" s="22"/>
      <c r="AF40" s="22"/>
      <c r="AG40" s="22"/>
      <c r="AH40" s="22"/>
      <c r="AI40" s="22"/>
      <c r="AJ40" s="22"/>
      <c r="AK40" s="22"/>
      <c r="AL40" s="22"/>
      <c r="AM40" s="22"/>
      <c r="AN40" s="22"/>
      <c r="AO40" s="22"/>
      <c r="AP40" s="22"/>
      <c r="AQ40" s="22"/>
      <c r="AR40" s="22"/>
      <c r="AS40" s="22"/>
    </row>
    <row r="41" spans="1:45" x14ac:dyDescent="0.3">
      <c r="A41" s="22"/>
      <c r="C41" s="224" t="str">
        <f>IF(INDEX(Status_Systeme,$A$2)=TRUE,"",IF(EA_BGF&gt;=3000,"² Betriebskosten lt. CostOpt 2019, Änderung in Registerblatt "&amp;Auswahl!G10&amp;" | "&amp;Auswahl!H10&amp;" möglich.",""))</f>
        <v/>
      </c>
      <c r="D41" s="53"/>
      <c r="E41" s="53"/>
      <c r="F41" s="53"/>
      <c r="G41" s="53"/>
      <c r="H41" s="53"/>
      <c r="I41" s="53"/>
      <c r="J41" s="53"/>
      <c r="K41" s="53"/>
      <c r="L41" s="50"/>
      <c r="M41" s="76"/>
      <c r="N41" s="78"/>
      <c r="O41" s="30"/>
      <c r="P41" s="24"/>
      <c r="Q41" s="24"/>
      <c r="R41" s="71"/>
      <c r="S41" s="71"/>
      <c r="T41" s="71"/>
      <c r="U41" s="128"/>
      <c r="V41" s="128"/>
      <c r="W41" s="71"/>
      <c r="X41" s="71"/>
      <c r="Y41" s="71"/>
      <c r="Z41" s="71"/>
      <c r="AA41" s="71"/>
      <c r="AB41" s="71"/>
      <c r="AC41" s="22"/>
      <c r="AD41" s="22"/>
      <c r="AE41" s="22"/>
      <c r="AF41" s="22"/>
      <c r="AG41" s="22"/>
      <c r="AH41" s="22"/>
      <c r="AI41" s="22"/>
      <c r="AJ41" s="22"/>
      <c r="AK41" s="22"/>
      <c r="AL41" s="22"/>
      <c r="AM41" s="22"/>
      <c r="AN41" s="22"/>
      <c r="AO41" s="22"/>
      <c r="AP41" s="22"/>
      <c r="AQ41" s="22"/>
      <c r="AR41" s="22"/>
      <c r="AS41" s="22"/>
    </row>
    <row r="42" spans="1:45" ht="7.5" customHeight="1" x14ac:dyDescent="0.3">
      <c r="A42" s="22"/>
      <c r="C42" s="52"/>
      <c r="D42" s="53"/>
      <c r="E42" s="53"/>
      <c r="F42" s="53"/>
      <c r="G42" s="53"/>
      <c r="H42" s="53"/>
      <c r="I42" s="53"/>
      <c r="J42" s="53"/>
      <c r="K42" s="53"/>
      <c r="L42" s="50"/>
      <c r="M42" s="76"/>
      <c r="N42" s="78"/>
      <c r="O42" s="30"/>
      <c r="P42" s="24"/>
      <c r="Q42" s="24"/>
      <c r="R42" s="71"/>
      <c r="S42" s="71"/>
      <c r="T42" s="71"/>
      <c r="U42" s="128"/>
      <c r="V42" s="128"/>
      <c r="W42" s="71"/>
      <c r="X42" s="71"/>
      <c r="Y42" s="71"/>
      <c r="Z42" s="71"/>
      <c r="AA42" s="71"/>
      <c r="AB42" s="71"/>
      <c r="AC42" s="22"/>
      <c r="AD42" s="22"/>
      <c r="AE42" s="22"/>
      <c r="AF42" s="22"/>
      <c r="AG42" s="22"/>
      <c r="AH42" s="22"/>
      <c r="AI42" s="22"/>
      <c r="AJ42" s="22"/>
      <c r="AK42" s="22"/>
      <c r="AL42" s="22"/>
      <c r="AM42" s="22"/>
      <c r="AN42" s="22"/>
      <c r="AO42" s="22"/>
      <c r="AP42" s="22"/>
      <c r="AQ42" s="22"/>
      <c r="AR42" s="22"/>
      <c r="AS42" s="22"/>
    </row>
    <row r="43" spans="1:45" ht="37.5" customHeight="1" x14ac:dyDescent="0.3">
      <c r="A43" s="22"/>
      <c r="B43" s="75"/>
      <c r="C43" s="416" t="str">
        <f>IF(INDEX(Status_Systeme,$A$2)=TRUE,"",$A$2&amp;".4 "&amp;UPPER(INDEX(Auswahl!$P$2:$P$6,4)))</f>
        <v>4.4 ENERGIEKOSTEN</v>
      </c>
      <c r="D43" s="416"/>
      <c r="E43" s="416"/>
      <c r="F43" s="416"/>
      <c r="G43" s="411" t="str">
        <f>IF(INDEX(Status_Systeme,$A$2)=TRUE,"","Energiebedarf"&amp;CHAR(10)&amp;"[kWh/a]")</f>
        <v>Energiebedarf
[kWh/a]</v>
      </c>
      <c r="H43" s="411"/>
      <c r="I43" s="411"/>
      <c r="J43" s="67" t="str">
        <f>IF(INDEX(Status_Systeme,$A$2)=TRUE,"","Energiepreis"&amp;IF(C46="","",IF(C41="","²","³"))&amp;CHAR(10)&amp;"[€/kWh]")</f>
        <v>Energiepreis²
[€/kWh]</v>
      </c>
      <c r="K43" s="409" t="str">
        <f>IF(INDEX(Status_Systeme,$A$2)=TRUE,"","Gesamtkosten"&amp;CHAR(2)&amp;CHAR(10)&amp;"nach "&amp;Basis_Betrachtungszeitraum&amp;"a [€]"&amp;CHAR(2))</f>
        <v>Gesamtkosten_x0002_
nach 20a [€]_x0002_</v>
      </c>
      <c r="L43" s="409"/>
      <c r="M43" s="76"/>
      <c r="N43" s="78"/>
      <c r="O43" s="30"/>
      <c r="P43" s="22"/>
      <c r="Q43" s="22"/>
      <c r="R43" s="71"/>
      <c r="S43" s="70" t="s">
        <v>180</v>
      </c>
      <c r="T43" s="70" t="s">
        <v>160</v>
      </c>
      <c r="U43" s="70" t="s">
        <v>161</v>
      </c>
      <c r="V43" s="70" t="s">
        <v>162</v>
      </c>
      <c r="W43" s="71"/>
      <c r="X43" s="71"/>
      <c r="Y43" s="71"/>
      <c r="Z43" s="71"/>
      <c r="AA43" s="71"/>
      <c r="AB43" s="71"/>
      <c r="AC43" s="22"/>
      <c r="AD43" s="22"/>
      <c r="AE43" s="22"/>
      <c r="AF43" s="22"/>
      <c r="AG43" s="22"/>
      <c r="AH43" s="22"/>
      <c r="AI43" s="22"/>
      <c r="AJ43" s="22"/>
      <c r="AK43" s="22"/>
      <c r="AL43" s="22"/>
      <c r="AM43" s="22"/>
      <c r="AN43" s="22"/>
      <c r="AO43" s="22"/>
      <c r="AP43" s="22"/>
      <c r="AQ43" s="22"/>
      <c r="AR43" s="22"/>
      <c r="AS43" s="22"/>
    </row>
    <row r="44" spans="1:45" x14ac:dyDescent="0.3">
      <c r="A44" s="22"/>
      <c r="B44" s="75"/>
      <c r="C44" s="81" t="str">
        <f>IF(INDEX(Status_Systeme,$A$2)=TRUE,"","A | RAUMWÄRME")</f>
        <v>A | RAUMWÄRME</v>
      </c>
      <c r="D44" s="414" t="str">
        <f>IF(INDEX(Status_Systeme,$A$2)=TRUE,"",VLOOKUP(Auswahl!$H$7,Tabelle_Betriebskosten,2,FALSE))</f>
        <v>Strom</v>
      </c>
      <c r="E44" s="414"/>
      <c r="F44" s="414"/>
      <c r="G44" s="418">
        <f>IF(INDEX(Status_Systeme,$A$2)=TRUE,"",EA_QhSK_calc*INDEX(EA_EAWZ_RH_calc,$A$2))</f>
        <v>0</v>
      </c>
      <c r="H44" s="418"/>
      <c r="I44" s="418"/>
      <c r="J44" s="59">
        <f>IF(OR(D44="",G44=""),"",VLOOKUP(D44,Tabelle_Energie,8,FALSE))</f>
        <v>0.16250000000000001</v>
      </c>
      <c r="K44" s="419">
        <f>IF(J44="","",J44*G44*V44)</f>
        <v>0</v>
      </c>
      <c r="L44" s="419"/>
      <c r="M44" s="76"/>
      <c r="N44" s="78"/>
      <c r="O44" s="30"/>
      <c r="P44" s="55"/>
      <c r="Q44" s="55"/>
      <c r="R44" s="71"/>
      <c r="S44" s="72" t="b">
        <f>VLOOKUP(D44,Tabelle_Energie,6,FALSE)=VLOOKUP(D44,Tabelle_Energie,7,FALSE)</f>
        <v>0</v>
      </c>
      <c r="T44" s="105">
        <f>VLOOKUP(D44,Tabelle_Energie,5,FALSE)</f>
        <v>2.4E-2</v>
      </c>
      <c r="U44" s="103">
        <f>(1-((1+T44)/(1+Basis_Marktzins))^Basis_Betrachtungszeitraum)/(1-((1+Basis_Inflation)/(1+Basis_Marktzins))^Basis_Betrachtungszeitraum)*((Basis_Marktzins-Basis_Inflation)/(1+Basis_Inflation))/((Basis_Marktzins-T44)/(1+T44))</f>
        <v>1.0392951829175132</v>
      </c>
      <c r="V44" s="103">
        <f>Basis_Barwertfaktor*U44</f>
        <v>16.692401383076287</v>
      </c>
      <c r="W44" s="71"/>
      <c r="X44" s="71"/>
      <c r="Y44" s="71"/>
      <c r="Z44" s="71"/>
      <c r="AA44" s="71"/>
      <c r="AB44" s="71"/>
      <c r="AC44" s="22"/>
      <c r="AD44" s="22"/>
      <c r="AE44" s="22"/>
      <c r="AF44" s="22"/>
      <c r="AG44" s="22"/>
      <c r="AH44" s="22"/>
      <c r="AI44" s="22"/>
      <c r="AJ44" s="22"/>
      <c r="AK44" s="22"/>
      <c r="AL44" s="22"/>
      <c r="AM44" s="22"/>
      <c r="AN44" s="22"/>
      <c r="AO44" s="22"/>
      <c r="AP44" s="22"/>
      <c r="AQ44" s="22"/>
      <c r="AR44" s="22"/>
      <c r="AS44" s="22"/>
    </row>
    <row r="45" spans="1:45" x14ac:dyDescent="0.3">
      <c r="A45" s="22"/>
      <c r="B45" s="75"/>
      <c r="C45" s="81" t="str">
        <f>IF(INDEX(Status_Systeme,$A$2)=TRUE,"","B | WARMWASSER")</f>
        <v>B | WARMWASSER</v>
      </c>
      <c r="D45" s="414" t="str">
        <f>IF(INDEX(Status_Systeme,$A$2)=TRUE,"",IF(Basis_WW_dezentral=FALSE,D44,INDEX(Tabelle_Energie,8,1)))</f>
        <v>Strom</v>
      </c>
      <c r="E45" s="414"/>
      <c r="F45" s="414"/>
      <c r="G45" s="418">
        <f>IF(INDEX(Status_Systeme,$A$2)=TRUE,"",EA_Qtw_calc*INDEX(EA_EAWZ_WW_calc,$A$2))</f>
        <v>0</v>
      </c>
      <c r="H45" s="418"/>
      <c r="I45" s="418"/>
      <c r="J45" s="59">
        <f>IF(OR(D45="",G45=""),"",VLOOKUP(D45,Tabelle_Energie,8,FALSE))</f>
        <v>0.16250000000000001</v>
      </c>
      <c r="K45" s="419">
        <f>IF(J45="","",J45*G45*V45)</f>
        <v>0</v>
      </c>
      <c r="L45" s="419"/>
      <c r="M45" s="76"/>
      <c r="N45" s="78"/>
      <c r="O45" s="30"/>
      <c r="P45" s="55"/>
      <c r="Q45" s="55"/>
      <c r="R45" s="71"/>
      <c r="S45" s="72" t="b">
        <f>VLOOKUP(D45,Tabelle_Energie,6,FALSE)=VLOOKUP(D45,Tabelle_Energie,7,FALSE)</f>
        <v>0</v>
      </c>
      <c r="T45" s="105">
        <f>VLOOKUP(D45,Tabelle_Energie,5,FALSE)</f>
        <v>2.4E-2</v>
      </c>
      <c r="U45" s="103">
        <f>(1-((1+T45)/(1+Basis_Marktzins))^Basis_Betrachtungszeitraum)/(1-((1+Basis_Inflation)/(1+Basis_Marktzins))^Basis_Betrachtungszeitraum)*((Basis_Marktzins-Basis_Inflation)/(1+Basis_Inflation))/((Basis_Marktzins-T45)/(1+T45))</f>
        <v>1.0392951829175132</v>
      </c>
      <c r="V45" s="103">
        <f>Basis_Barwertfaktor*U45</f>
        <v>16.692401383076287</v>
      </c>
      <c r="W45" s="71"/>
      <c r="X45" s="71"/>
      <c r="Y45" s="71"/>
      <c r="Z45" s="71"/>
      <c r="AA45" s="71"/>
      <c r="AB45" s="71"/>
      <c r="AC45" s="22"/>
      <c r="AD45" s="22"/>
      <c r="AE45" s="22"/>
      <c r="AF45" s="22"/>
      <c r="AG45" s="22"/>
      <c r="AH45" s="22"/>
      <c r="AI45" s="22"/>
      <c r="AJ45" s="22"/>
      <c r="AK45" s="22"/>
      <c r="AL45" s="22"/>
      <c r="AM45" s="22"/>
      <c r="AN45" s="22"/>
      <c r="AO45" s="22"/>
      <c r="AP45" s="22"/>
      <c r="AQ45" s="22"/>
      <c r="AR45" s="22"/>
      <c r="AS45" s="22"/>
    </row>
    <row r="46" spans="1:45" x14ac:dyDescent="0.3">
      <c r="A46" s="22"/>
      <c r="C46" s="224" t="str">
        <f>IF(INDEX(Status_Systeme,$A$2)=TRUE,"",IF(OR(EA_BGF&gt;=3000,EA_WG=FALSE),IF(C41="","²","³")&amp;" Energiekosten lt. CostOpt 2019, Änderung in Registerblatt "&amp;Auswahl!G10&amp;" | "&amp;Auswahl!H10&amp;" möglich.",""))</f>
        <v>² Energiekosten lt. CostOpt 2019, Änderung in Registerblatt 7 | Rahmenbedingungen möglich.</v>
      </c>
      <c r="D46" s="53"/>
      <c r="E46" s="53"/>
      <c r="F46" s="53"/>
      <c r="G46" s="53"/>
      <c r="H46" s="53"/>
      <c r="I46" s="53"/>
      <c r="J46" s="53"/>
      <c r="K46" s="53"/>
      <c r="L46" s="50"/>
      <c r="M46" s="76"/>
      <c r="N46" s="78"/>
      <c r="O46" s="30"/>
      <c r="P46" s="24"/>
      <c r="Q46" s="24"/>
      <c r="R46" s="71"/>
      <c r="S46" s="71"/>
      <c r="T46" s="71"/>
      <c r="U46" s="128"/>
      <c r="V46" s="128"/>
      <c r="W46" s="71"/>
      <c r="X46" s="71"/>
      <c r="Y46" s="71"/>
      <c r="Z46" s="71"/>
      <c r="AA46" s="71"/>
      <c r="AB46" s="71"/>
      <c r="AC46" s="22"/>
      <c r="AD46" s="22"/>
      <c r="AE46" s="22"/>
      <c r="AF46" s="22"/>
      <c r="AG46" s="22"/>
      <c r="AH46" s="22"/>
      <c r="AI46" s="22"/>
      <c r="AJ46" s="22"/>
      <c r="AK46" s="22"/>
      <c r="AL46" s="22"/>
      <c r="AM46" s="22"/>
      <c r="AN46" s="22"/>
      <c r="AO46" s="22"/>
      <c r="AP46" s="22"/>
      <c r="AQ46" s="22"/>
      <c r="AR46" s="22"/>
      <c r="AS46" s="22"/>
    </row>
    <row r="47" spans="1:45" ht="7.5" hidden="1" customHeight="1" x14ac:dyDescent="0.3">
      <c r="A47" s="190" t="s">
        <v>156</v>
      </c>
      <c r="C47" s="53"/>
      <c r="D47" s="53"/>
      <c r="E47" s="53"/>
      <c r="F47" s="53"/>
      <c r="G47" s="53"/>
      <c r="H47" s="53"/>
      <c r="I47" s="53"/>
      <c r="J47" s="53"/>
      <c r="K47" s="53"/>
      <c r="L47" s="50"/>
      <c r="M47" s="76"/>
      <c r="N47" s="78"/>
      <c r="O47" s="30"/>
      <c r="P47" s="24"/>
      <c r="Q47" s="24"/>
      <c r="R47" s="71"/>
      <c r="S47" s="71"/>
      <c r="T47" s="71"/>
      <c r="U47" s="128"/>
      <c r="V47" s="128"/>
      <c r="W47" s="71"/>
      <c r="X47" s="71"/>
      <c r="Y47" s="71"/>
      <c r="Z47" s="71"/>
      <c r="AA47" s="71"/>
      <c r="AB47" s="71"/>
      <c r="AC47" s="22"/>
      <c r="AD47" s="22"/>
      <c r="AE47" s="22"/>
      <c r="AF47" s="22"/>
      <c r="AG47" s="22"/>
      <c r="AH47" s="22"/>
      <c r="AI47" s="22"/>
      <c r="AJ47" s="22"/>
      <c r="AK47" s="22"/>
      <c r="AL47" s="22"/>
      <c r="AM47" s="22"/>
      <c r="AN47" s="22"/>
      <c r="AO47" s="22"/>
      <c r="AP47" s="22"/>
      <c r="AQ47" s="22"/>
      <c r="AR47" s="22"/>
      <c r="AS47" s="22"/>
    </row>
    <row r="48" spans="1:45" ht="37.5" hidden="1" customHeight="1" x14ac:dyDescent="0.3">
      <c r="A48" s="190" t="s">
        <v>156</v>
      </c>
      <c r="B48" s="75"/>
      <c r="C48" s="416" t="str">
        <f>IF(OR(INDEX(Status_Systeme,$A$2)=TRUE,EA_PV_Status=FALSE),"",$A$2&amp;".5 "&amp;UPPER(INDEX(Auswahl!$P$2:$P$6,5)))</f>
        <v/>
      </c>
      <c r="D48" s="416"/>
      <c r="E48" s="416"/>
      <c r="F48" s="416"/>
      <c r="G48" s="411" t="str">
        <f>IF(OR(INDEX(Status_Systeme,$A$2)=TRUE,EA_PV_Status=FALSE),"","Energiegewinn"&amp;CHAR(10)&amp;"[kWh/a]")</f>
        <v/>
      </c>
      <c r="H48" s="411"/>
      <c r="I48" s="411"/>
      <c r="J48" s="67" t="str">
        <f>IF(OR(INDEX(Status_Systeme,$A$2)=TRUE,EA_PV_Status=FALSE),"","Energiepreis*"&amp;CHAR(10)&amp;"[€/kWh]")</f>
        <v/>
      </c>
      <c r="K48" s="409" t="str">
        <f>IF(OR(INDEX(Status_Systeme,$A$2)=TRUE,EA_PV_Status=FALSE),"","Gesamtkosten"&amp;CHAR(2)&amp;CHAR(10)&amp;"nach T [€]"&amp;CHAR(2))</f>
        <v/>
      </c>
      <c r="L48" s="409"/>
      <c r="M48" s="76"/>
      <c r="N48" s="78"/>
      <c r="O48" s="30"/>
      <c r="P48" s="22"/>
      <c r="Q48" s="22"/>
      <c r="R48" s="71"/>
      <c r="S48" s="70" t="s">
        <v>180</v>
      </c>
      <c r="T48" s="70" t="s">
        <v>160</v>
      </c>
      <c r="U48" s="70" t="s">
        <v>161</v>
      </c>
      <c r="V48" s="70" t="s">
        <v>162</v>
      </c>
      <c r="W48" s="71"/>
      <c r="X48" s="71"/>
      <c r="Y48" s="71"/>
      <c r="Z48" s="71"/>
      <c r="AA48" s="71"/>
      <c r="AB48" s="71"/>
      <c r="AC48" s="22"/>
      <c r="AD48" s="22"/>
      <c r="AE48" s="22"/>
      <c r="AF48" s="22"/>
      <c r="AG48" s="22"/>
      <c r="AH48" s="22"/>
      <c r="AI48" s="22"/>
      <c r="AJ48" s="22"/>
      <c r="AK48" s="22"/>
      <c r="AL48" s="22"/>
      <c r="AM48" s="22"/>
      <c r="AN48" s="22"/>
      <c r="AO48" s="22"/>
      <c r="AP48" s="22"/>
      <c r="AQ48" s="22"/>
      <c r="AR48" s="22"/>
      <c r="AS48" s="22"/>
    </row>
    <row r="49" spans="1:45" hidden="1" x14ac:dyDescent="0.3">
      <c r="A49" s="190" t="s">
        <v>156</v>
      </c>
      <c r="B49" s="75"/>
      <c r="C49" s="81" t="str">
        <f>IF(OR(INDEX(Status_Systeme,$A$2)=TRUE,EA_PV_Status=FALSE),"","A | EIGENVERBRAUCH")</f>
        <v/>
      </c>
      <c r="D49" s="414" t="str">
        <f>IF(OR(INDEX(Status_Systeme,$A$2)=TRUE,EA_PV_Status=FALSE),"",INDEX(Tabelle_Energie,8,1))</f>
        <v/>
      </c>
      <c r="E49" s="414"/>
      <c r="F49" s="414"/>
      <c r="G49" s="418"/>
      <c r="H49" s="418"/>
      <c r="I49" s="418"/>
      <c r="J49" s="59"/>
      <c r="K49" s="419"/>
      <c r="L49" s="419"/>
      <c r="M49" s="76"/>
      <c r="N49" s="78"/>
      <c r="O49" s="30"/>
      <c r="P49" s="55"/>
      <c r="Q49" s="55"/>
      <c r="R49" s="71"/>
      <c r="S49" s="72" t="e">
        <f>VLOOKUP(D49,Tabelle_Energie,6,FALSE)=VLOOKUP(D49,Tabelle_Energie,7,FALSE)</f>
        <v>#N/A</v>
      </c>
      <c r="T49" s="105" t="e">
        <f>VLOOKUP(D49,Tabelle_Energie,5,FALSE)</f>
        <v>#N/A</v>
      </c>
      <c r="U49" s="103" t="e">
        <f>(1-((1+T49)/(1+Basis_Marktzins))^Basis_Betrachtungszeitraum)/(1-((1+Basis_Inflation)/(1+Basis_Marktzins))^Basis_Betrachtungszeitraum)*((Basis_Marktzins-Basis_Inflation)/(1+Basis_Inflation))/((Basis_Marktzins-T49)/(1+T49))</f>
        <v>#N/A</v>
      </c>
      <c r="V49" s="103" t="e">
        <f>Basis_Barwertfaktor*U49</f>
        <v>#N/A</v>
      </c>
      <c r="W49" s="71"/>
      <c r="X49" s="71"/>
      <c r="Y49" s="71"/>
      <c r="Z49" s="71"/>
      <c r="AA49" s="71"/>
      <c r="AB49" s="71"/>
      <c r="AC49" s="22"/>
      <c r="AD49" s="22"/>
      <c r="AE49" s="22"/>
      <c r="AF49" s="22"/>
      <c r="AG49" s="22"/>
      <c r="AH49" s="22"/>
      <c r="AI49" s="22"/>
      <c r="AJ49" s="22"/>
      <c r="AK49" s="22"/>
      <c r="AL49" s="22"/>
      <c r="AM49" s="22"/>
      <c r="AN49" s="22"/>
      <c r="AO49" s="22"/>
      <c r="AP49" s="22"/>
      <c r="AQ49" s="22"/>
      <c r="AR49" s="22"/>
      <c r="AS49" s="22"/>
    </row>
    <row r="50" spans="1:45" hidden="1" x14ac:dyDescent="0.3">
      <c r="A50" s="190" t="s">
        <v>156</v>
      </c>
      <c r="B50" s="75"/>
      <c r="C50" s="81" t="str">
        <f>IF(OR(INDEX(Status_Systeme,$A$2)=TRUE,EA_PV_Status=FALSE),"","B | ÜBERSCHUSS")</f>
        <v/>
      </c>
      <c r="D50" s="414" t="str">
        <f>IF(OR(INDEX(Status_Systeme,$A$2)=TRUE,EA_PV_Status=FALSE),"",INDEX(Tabelle_Energie,8,1))</f>
        <v/>
      </c>
      <c r="E50" s="414"/>
      <c r="F50" s="414"/>
      <c r="G50" s="418"/>
      <c r="H50" s="418"/>
      <c r="I50" s="418"/>
      <c r="J50" s="59"/>
      <c r="K50" s="419"/>
      <c r="L50" s="419"/>
      <c r="M50" s="76"/>
      <c r="N50" s="78"/>
      <c r="O50" s="30"/>
      <c r="P50" s="55"/>
      <c r="Q50" s="55"/>
      <c r="R50" s="71"/>
      <c r="S50" s="72" t="e">
        <f>VLOOKUP(D50,Tabelle_Energie,6,FALSE)=VLOOKUP(D50,Tabelle_Energie,7,FALSE)</f>
        <v>#N/A</v>
      </c>
      <c r="T50" s="105" t="e">
        <f>VLOOKUP(D50,Tabelle_Energie,5,FALSE)</f>
        <v>#N/A</v>
      </c>
      <c r="U50" s="103" t="e">
        <f>(1-((1+T50)/(1+Basis_Marktzins))^Basis_Betrachtungszeitraum)/(1-((1+Basis_Inflation)/(1+Basis_Marktzins))^Basis_Betrachtungszeitraum)*((Basis_Marktzins-Basis_Inflation)/(1+Basis_Inflation))/((Basis_Marktzins-T50)/(1+T50))</f>
        <v>#N/A</v>
      </c>
      <c r="V50" s="103" t="e">
        <f>Basis_Barwertfaktor*U50</f>
        <v>#N/A</v>
      </c>
      <c r="W50" s="71"/>
      <c r="X50" s="71"/>
      <c r="Y50" s="71"/>
      <c r="Z50" s="71"/>
      <c r="AA50" s="71"/>
      <c r="AB50" s="71"/>
      <c r="AC50" s="22"/>
      <c r="AD50" s="22"/>
      <c r="AE50" s="22"/>
      <c r="AF50" s="22"/>
      <c r="AG50" s="22"/>
      <c r="AH50" s="22"/>
      <c r="AI50" s="22"/>
      <c r="AJ50" s="22"/>
      <c r="AK50" s="22"/>
      <c r="AL50" s="22"/>
      <c r="AM50" s="22"/>
      <c r="AN50" s="22"/>
      <c r="AO50" s="22"/>
      <c r="AP50" s="22"/>
      <c r="AQ50" s="22"/>
      <c r="AR50" s="22"/>
      <c r="AS50" s="22"/>
    </row>
    <row r="51" spans="1:45" x14ac:dyDescent="0.3">
      <c r="A51" s="22"/>
      <c r="B51" s="71"/>
      <c r="C51" s="24"/>
      <c r="D51" s="24"/>
      <c r="E51" s="31"/>
      <c r="F51" s="24"/>
      <c r="G51" s="24"/>
      <c r="H51" s="24"/>
      <c r="I51" s="31"/>
      <c r="J51" s="24"/>
      <c r="K51" s="24"/>
      <c r="L51" s="24"/>
      <c r="M51" s="78"/>
      <c r="N51" s="78"/>
      <c r="O51" s="24"/>
      <c r="P51" s="24"/>
      <c r="Q51" s="24"/>
      <c r="R51" s="71"/>
      <c r="S51" s="71"/>
      <c r="T51" s="71"/>
      <c r="U51" s="128"/>
      <c r="V51" s="128"/>
      <c r="W51" s="71"/>
      <c r="X51" s="71"/>
      <c r="Y51" s="71"/>
      <c r="Z51" s="71"/>
      <c r="AA51" s="71"/>
      <c r="AB51" s="71"/>
      <c r="AC51" s="22"/>
      <c r="AD51" s="22"/>
      <c r="AE51" s="22"/>
      <c r="AF51" s="22"/>
      <c r="AG51" s="22"/>
      <c r="AH51" s="22"/>
      <c r="AI51" s="22"/>
      <c r="AJ51" s="22"/>
      <c r="AK51" s="22"/>
      <c r="AL51" s="22"/>
      <c r="AM51" s="22"/>
      <c r="AN51" s="22"/>
      <c r="AO51" s="22"/>
      <c r="AP51" s="22"/>
      <c r="AQ51" s="22"/>
      <c r="AR51" s="22"/>
      <c r="AS51" s="22"/>
    </row>
    <row r="52" spans="1:45" x14ac:dyDescent="0.3">
      <c r="A52" s="22"/>
      <c r="B52" s="71"/>
      <c r="C52" s="24"/>
      <c r="D52" s="24"/>
      <c r="E52" s="31"/>
      <c r="F52" s="24"/>
      <c r="G52" s="24"/>
      <c r="H52" s="24"/>
      <c r="I52" s="31"/>
      <c r="J52" s="24"/>
      <c r="K52" s="24"/>
      <c r="L52" s="24"/>
      <c r="M52" s="78"/>
      <c r="N52" s="78"/>
      <c r="O52" s="24"/>
      <c r="P52" s="24"/>
      <c r="Q52" s="24"/>
      <c r="R52" s="71"/>
      <c r="S52" s="71"/>
      <c r="T52" s="71"/>
      <c r="U52" s="71"/>
      <c r="V52" s="71"/>
      <c r="W52" s="71"/>
      <c r="X52" s="71"/>
      <c r="Y52" s="71"/>
      <c r="Z52" s="71"/>
      <c r="AA52" s="71"/>
      <c r="AB52" s="71"/>
      <c r="AC52" s="22"/>
      <c r="AD52" s="22"/>
      <c r="AE52" s="22"/>
      <c r="AF52" s="22"/>
      <c r="AG52" s="22"/>
      <c r="AH52" s="22"/>
      <c r="AI52" s="22"/>
      <c r="AJ52" s="22"/>
      <c r="AK52" s="22"/>
      <c r="AL52" s="22"/>
      <c r="AM52" s="22"/>
      <c r="AN52" s="22"/>
      <c r="AO52" s="22"/>
      <c r="AP52" s="22"/>
      <c r="AQ52" s="22"/>
      <c r="AR52" s="22"/>
      <c r="AS52" s="22"/>
    </row>
    <row r="53" spans="1:45" x14ac:dyDescent="0.3">
      <c r="A53" s="22"/>
      <c r="B53" s="71"/>
      <c r="C53" s="56"/>
      <c r="D53" s="56"/>
      <c r="E53" s="29"/>
      <c r="F53" s="29"/>
      <c r="G53" s="29"/>
      <c r="H53" s="29"/>
      <c r="I53" s="29"/>
      <c r="J53" s="29"/>
      <c r="K53" s="29"/>
      <c r="L53" s="57"/>
      <c r="M53" s="78"/>
      <c r="N53" s="78"/>
      <c r="O53" s="24"/>
      <c r="P53" s="24"/>
      <c r="Q53" s="24"/>
      <c r="R53" s="71"/>
      <c r="S53" s="71"/>
      <c r="T53" s="71"/>
      <c r="U53" s="71"/>
      <c r="V53" s="71"/>
      <c r="W53" s="71"/>
      <c r="X53" s="71"/>
      <c r="Y53" s="71"/>
      <c r="Z53" s="71"/>
      <c r="AA53" s="71"/>
      <c r="AB53" s="71"/>
      <c r="AC53" s="22"/>
      <c r="AD53" s="22"/>
      <c r="AE53" s="22"/>
      <c r="AF53" s="22"/>
      <c r="AG53" s="22"/>
      <c r="AH53" s="22"/>
      <c r="AI53" s="22"/>
      <c r="AJ53" s="22"/>
      <c r="AK53" s="22"/>
      <c r="AL53" s="22"/>
      <c r="AM53" s="22"/>
      <c r="AN53" s="22"/>
      <c r="AO53" s="22"/>
      <c r="AP53" s="22"/>
      <c r="AQ53" s="22"/>
      <c r="AR53" s="22"/>
      <c r="AS53" s="22"/>
    </row>
    <row r="54" spans="1:45" x14ac:dyDescent="0.3">
      <c r="A54" s="22"/>
      <c r="B54" s="71"/>
      <c r="C54" s="24"/>
      <c r="D54" s="24"/>
      <c r="E54" s="31"/>
      <c r="F54" s="24"/>
      <c r="G54" s="24"/>
      <c r="H54" s="24"/>
      <c r="I54" s="31"/>
      <c r="J54" s="24"/>
      <c r="K54" s="24"/>
      <c r="L54" s="24"/>
      <c r="M54" s="78"/>
      <c r="N54" s="78"/>
      <c r="O54" s="24"/>
      <c r="P54" s="24"/>
      <c r="Q54" s="24"/>
      <c r="R54" s="71"/>
      <c r="S54" s="71"/>
      <c r="T54" s="71"/>
      <c r="U54" s="71"/>
      <c r="V54" s="71"/>
      <c r="W54" s="71"/>
      <c r="X54" s="71"/>
      <c r="Y54" s="71"/>
      <c r="Z54" s="71"/>
      <c r="AA54" s="71"/>
      <c r="AB54" s="71"/>
      <c r="AC54" s="22"/>
      <c r="AD54" s="22"/>
      <c r="AE54" s="22"/>
      <c r="AF54" s="22"/>
      <c r="AG54" s="22"/>
      <c r="AH54" s="22"/>
      <c r="AI54" s="22"/>
      <c r="AJ54" s="22"/>
      <c r="AK54" s="22"/>
      <c r="AL54" s="22"/>
      <c r="AM54" s="22"/>
      <c r="AN54" s="22"/>
      <c r="AO54" s="22"/>
      <c r="AP54" s="22"/>
      <c r="AQ54" s="22"/>
      <c r="AR54" s="22"/>
      <c r="AS54" s="22"/>
    </row>
    <row r="55" spans="1:45" x14ac:dyDescent="0.3">
      <c r="A55" s="22"/>
      <c r="B55" s="71"/>
      <c r="C55" s="24"/>
      <c r="D55" s="24"/>
      <c r="E55" s="31"/>
      <c r="F55" s="24"/>
      <c r="G55" s="24"/>
      <c r="H55" s="24"/>
      <c r="I55" s="31"/>
      <c r="J55" s="24"/>
      <c r="K55" s="24"/>
      <c r="L55" s="24"/>
      <c r="M55" s="78"/>
      <c r="N55" s="78"/>
      <c r="O55" s="24"/>
      <c r="P55" s="24"/>
      <c r="Q55" s="24"/>
      <c r="R55" s="71"/>
      <c r="S55" s="71"/>
      <c r="T55" s="71"/>
      <c r="U55" s="71"/>
      <c r="V55" s="71"/>
      <c r="W55" s="71"/>
      <c r="X55" s="71"/>
      <c r="Y55" s="71"/>
      <c r="Z55" s="71"/>
      <c r="AA55" s="71"/>
      <c r="AB55" s="71"/>
      <c r="AC55" s="22"/>
      <c r="AD55" s="22"/>
      <c r="AE55" s="22"/>
      <c r="AF55" s="22"/>
      <c r="AG55" s="22"/>
      <c r="AH55" s="22"/>
      <c r="AI55" s="22"/>
      <c r="AJ55" s="22"/>
      <c r="AK55" s="22"/>
      <c r="AL55" s="22"/>
      <c r="AM55" s="22"/>
      <c r="AN55" s="22"/>
      <c r="AO55" s="22"/>
      <c r="AP55" s="22"/>
      <c r="AQ55" s="22"/>
      <c r="AR55" s="22"/>
      <c r="AS55" s="22"/>
    </row>
    <row r="56" spans="1:45" x14ac:dyDescent="0.3">
      <c r="A56" s="22"/>
      <c r="B56" s="71"/>
      <c r="C56" s="24"/>
      <c r="D56" s="24"/>
      <c r="E56" s="31"/>
      <c r="F56" s="24"/>
      <c r="G56" s="24"/>
      <c r="H56" s="24"/>
      <c r="I56" s="31"/>
      <c r="J56" s="24"/>
      <c r="K56" s="24"/>
      <c r="L56" s="24"/>
      <c r="M56" s="78"/>
      <c r="N56" s="78"/>
      <c r="O56" s="24"/>
      <c r="P56" s="24"/>
      <c r="Q56" s="24"/>
      <c r="R56" s="71"/>
      <c r="S56" s="71"/>
      <c r="T56" s="71"/>
      <c r="U56" s="71"/>
      <c r="V56" s="71"/>
      <c r="W56" s="71"/>
      <c r="X56" s="71"/>
      <c r="Y56" s="71"/>
      <c r="Z56" s="71"/>
      <c r="AA56" s="71"/>
      <c r="AB56" s="71"/>
      <c r="AC56" s="22"/>
      <c r="AD56" s="22"/>
      <c r="AE56" s="22"/>
      <c r="AF56" s="22"/>
      <c r="AG56" s="22"/>
      <c r="AH56" s="22"/>
      <c r="AI56" s="22"/>
      <c r="AJ56" s="22"/>
      <c r="AK56" s="22"/>
      <c r="AL56" s="22"/>
      <c r="AM56" s="22"/>
      <c r="AN56" s="22"/>
      <c r="AO56" s="22"/>
      <c r="AP56" s="22"/>
      <c r="AQ56" s="22"/>
      <c r="AR56" s="22"/>
      <c r="AS56" s="22"/>
    </row>
    <row r="57" spans="1:45" x14ac:dyDescent="0.3">
      <c r="A57" s="22"/>
      <c r="B57" s="71"/>
      <c r="C57" s="24"/>
      <c r="D57" s="24"/>
      <c r="E57" s="31"/>
      <c r="F57" s="24"/>
      <c r="G57" s="24"/>
      <c r="H57" s="24"/>
      <c r="I57" s="31"/>
      <c r="J57" s="24"/>
      <c r="K57" s="24"/>
      <c r="L57" s="24"/>
      <c r="M57" s="78"/>
      <c r="N57" s="78"/>
      <c r="O57" s="24"/>
      <c r="P57" s="24"/>
      <c r="Q57" s="24"/>
      <c r="R57" s="71"/>
      <c r="S57" s="71"/>
      <c r="T57" s="71"/>
      <c r="U57" s="71"/>
      <c r="V57" s="71"/>
      <c r="W57" s="71"/>
      <c r="X57" s="71"/>
      <c r="Y57" s="71"/>
      <c r="Z57" s="71"/>
      <c r="AA57" s="71"/>
      <c r="AB57" s="71"/>
      <c r="AC57" s="22"/>
      <c r="AD57" s="22"/>
      <c r="AE57" s="22"/>
      <c r="AF57" s="22"/>
      <c r="AG57" s="22"/>
      <c r="AH57" s="22"/>
      <c r="AI57" s="22"/>
      <c r="AJ57" s="22"/>
      <c r="AK57" s="22"/>
      <c r="AL57" s="22"/>
      <c r="AM57" s="22"/>
      <c r="AN57" s="22"/>
      <c r="AO57" s="22"/>
      <c r="AP57" s="22"/>
      <c r="AQ57" s="22"/>
      <c r="AR57" s="22"/>
      <c r="AS57" s="22"/>
    </row>
    <row r="58" spans="1:45" x14ac:dyDescent="0.3">
      <c r="A58" s="22"/>
      <c r="B58" s="71"/>
      <c r="C58" s="24"/>
      <c r="D58" s="31"/>
      <c r="E58" s="24"/>
      <c r="F58" s="24"/>
      <c r="G58" s="24"/>
      <c r="H58" s="31"/>
      <c r="I58" s="24"/>
      <c r="J58" s="24"/>
      <c r="K58" s="24"/>
      <c r="L58" s="31"/>
      <c r="M58" s="78"/>
      <c r="N58" s="78"/>
      <c r="O58" s="24"/>
      <c r="P58" s="24"/>
      <c r="Q58" s="24"/>
      <c r="R58" s="71"/>
      <c r="S58" s="71"/>
      <c r="T58" s="71"/>
      <c r="U58" s="71"/>
      <c r="V58" s="71"/>
      <c r="W58" s="71"/>
      <c r="X58" s="71"/>
      <c r="Y58" s="71"/>
      <c r="Z58" s="71"/>
      <c r="AA58" s="71"/>
      <c r="AB58" s="71"/>
      <c r="AC58" s="22"/>
      <c r="AD58" s="22"/>
      <c r="AE58" s="22"/>
      <c r="AF58" s="22"/>
      <c r="AG58" s="22"/>
      <c r="AH58" s="22"/>
      <c r="AI58" s="22"/>
      <c r="AJ58" s="22"/>
      <c r="AK58" s="22"/>
      <c r="AL58" s="22"/>
      <c r="AM58" s="22"/>
      <c r="AN58" s="22"/>
      <c r="AO58" s="22"/>
      <c r="AP58" s="22"/>
      <c r="AQ58" s="22"/>
      <c r="AR58" s="22"/>
      <c r="AS58" s="22"/>
    </row>
    <row r="59" spans="1:45" x14ac:dyDescent="0.3">
      <c r="A59" s="22"/>
      <c r="B59" s="71"/>
      <c r="C59" s="24"/>
      <c r="D59" s="31"/>
      <c r="E59" s="24"/>
      <c r="F59" s="24"/>
      <c r="G59" s="24"/>
      <c r="H59" s="31"/>
      <c r="I59" s="24"/>
      <c r="J59" s="24"/>
      <c r="K59" s="24"/>
      <c r="L59" s="31"/>
      <c r="M59" s="78"/>
      <c r="N59" s="78"/>
      <c r="O59" s="24"/>
      <c r="P59" s="24"/>
      <c r="Q59" s="24"/>
      <c r="R59" s="71"/>
      <c r="S59" s="71"/>
      <c r="T59" s="71"/>
      <c r="U59" s="71"/>
      <c r="V59" s="71"/>
      <c r="W59" s="71"/>
      <c r="X59" s="71"/>
      <c r="Y59" s="71"/>
      <c r="Z59" s="71"/>
      <c r="AA59" s="71"/>
      <c r="AB59" s="71"/>
      <c r="AC59" s="22"/>
      <c r="AD59" s="22"/>
      <c r="AE59" s="22"/>
      <c r="AF59" s="22"/>
      <c r="AG59" s="22"/>
      <c r="AH59" s="22"/>
      <c r="AI59" s="22"/>
      <c r="AJ59" s="22"/>
      <c r="AK59" s="22"/>
      <c r="AL59" s="22"/>
      <c r="AM59" s="22"/>
      <c r="AN59" s="22"/>
      <c r="AO59" s="22"/>
      <c r="AP59" s="22"/>
      <c r="AQ59" s="22"/>
      <c r="AR59" s="22"/>
      <c r="AS59" s="22"/>
    </row>
    <row r="60" spans="1:45" x14ac:dyDescent="0.3">
      <c r="A60" s="22"/>
      <c r="B60" s="71"/>
      <c r="C60" s="24"/>
      <c r="D60" s="31"/>
      <c r="E60" s="24"/>
      <c r="F60" s="24"/>
      <c r="G60" s="24"/>
      <c r="H60" s="31"/>
      <c r="I60" s="24"/>
      <c r="J60" s="24"/>
      <c r="K60" s="24"/>
      <c r="L60" s="31"/>
      <c r="M60" s="78"/>
      <c r="N60" s="78"/>
      <c r="O60" s="24"/>
      <c r="P60" s="24"/>
      <c r="Q60" s="24"/>
      <c r="R60" s="71"/>
      <c r="S60" s="71"/>
      <c r="T60" s="71"/>
      <c r="U60" s="71"/>
      <c r="V60" s="71"/>
      <c r="W60" s="71"/>
      <c r="X60" s="71"/>
      <c r="Y60" s="71"/>
      <c r="Z60" s="71"/>
      <c r="AA60" s="71"/>
      <c r="AB60" s="71"/>
      <c r="AC60" s="22"/>
      <c r="AD60" s="22"/>
      <c r="AE60" s="22"/>
      <c r="AF60" s="22"/>
      <c r="AG60" s="22"/>
      <c r="AH60" s="22"/>
      <c r="AI60" s="22"/>
      <c r="AJ60" s="22"/>
      <c r="AK60" s="22"/>
      <c r="AL60" s="22"/>
      <c r="AM60" s="22"/>
      <c r="AN60" s="22"/>
      <c r="AO60" s="22"/>
      <c r="AP60" s="22"/>
      <c r="AQ60" s="22"/>
      <c r="AR60" s="22"/>
      <c r="AS60" s="22"/>
    </row>
    <row r="61" spans="1:45" x14ac:dyDescent="0.3">
      <c r="A61" s="22"/>
      <c r="B61" s="71"/>
      <c r="C61" s="24"/>
      <c r="D61" s="31"/>
      <c r="E61" s="24"/>
      <c r="F61" s="24"/>
      <c r="G61" s="24"/>
      <c r="H61" s="31"/>
      <c r="I61" s="24"/>
      <c r="J61" s="24"/>
      <c r="K61" s="24"/>
      <c r="L61" s="31"/>
      <c r="M61" s="78"/>
      <c r="N61" s="78"/>
      <c r="O61" s="24"/>
      <c r="P61" s="24"/>
      <c r="Q61" s="24"/>
      <c r="R61" s="71"/>
      <c r="S61" s="71"/>
      <c r="T61" s="71"/>
      <c r="U61" s="71"/>
      <c r="V61" s="71"/>
      <c r="W61" s="71"/>
      <c r="X61" s="71"/>
      <c r="Y61" s="71"/>
      <c r="Z61" s="71"/>
      <c r="AA61" s="71"/>
      <c r="AB61" s="71"/>
      <c r="AC61" s="22"/>
      <c r="AD61" s="22"/>
      <c r="AE61" s="22"/>
      <c r="AF61" s="22"/>
      <c r="AG61" s="22"/>
      <c r="AH61" s="22"/>
      <c r="AI61" s="22"/>
      <c r="AJ61" s="22"/>
      <c r="AK61" s="22"/>
      <c r="AL61" s="22"/>
      <c r="AM61" s="22"/>
      <c r="AN61" s="22"/>
      <c r="AO61" s="22"/>
      <c r="AP61" s="22"/>
      <c r="AQ61" s="22"/>
      <c r="AR61" s="22"/>
      <c r="AS61" s="22"/>
    </row>
    <row r="62" spans="1:45" x14ac:dyDescent="0.3">
      <c r="A62" s="22"/>
      <c r="B62" s="71"/>
      <c r="C62" s="24"/>
      <c r="D62" s="31"/>
      <c r="E62" s="24"/>
      <c r="F62" s="24"/>
      <c r="G62" s="24"/>
      <c r="H62" s="31"/>
      <c r="I62" s="24"/>
      <c r="J62" s="24"/>
      <c r="K62" s="24"/>
      <c r="L62" s="31"/>
      <c r="M62" s="78"/>
      <c r="N62" s="78"/>
      <c r="O62" s="24"/>
      <c r="P62" s="24"/>
      <c r="Q62" s="24"/>
      <c r="R62" s="71"/>
      <c r="S62" s="71"/>
      <c r="T62" s="71"/>
      <c r="U62" s="71"/>
      <c r="V62" s="71"/>
      <c r="W62" s="71"/>
      <c r="X62" s="71"/>
      <c r="Y62" s="71"/>
      <c r="Z62" s="71"/>
      <c r="AA62" s="71"/>
      <c r="AB62" s="71"/>
      <c r="AC62" s="22"/>
      <c r="AD62" s="22"/>
      <c r="AE62" s="22"/>
      <c r="AF62" s="22"/>
      <c r="AG62" s="22"/>
      <c r="AH62" s="22"/>
      <c r="AI62" s="22"/>
      <c r="AJ62" s="22"/>
      <c r="AK62" s="22"/>
      <c r="AL62" s="22"/>
      <c r="AM62" s="22"/>
      <c r="AN62" s="22"/>
      <c r="AO62" s="22"/>
      <c r="AP62" s="22"/>
      <c r="AQ62" s="22"/>
      <c r="AR62" s="22"/>
      <c r="AS62" s="22"/>
    </row>
    <row r="63" spans="1:45" x14ac:dyDescent="0.3">
      <c r="A63" s="22"/>
      <c r="B63" s="71"/>
      <c r="C63" s="24"/>
      <c r="D63" s="31"/>
      <c r="E63" s="24"/>
      <c r="F63" s="24"/>
      <c r="G63" s="24"/>
      <c r="H63" s="31"/>
      <c r="I63" s="24"/>
      <c r="J63" s="24"/>
      <c r="K63" s="24"/>
      <c r="L63" s="31"/>
      <c r="M63" s="78"/>
      <c r="N63" s="78"/>
      <c r="O63" s="24"/>
      <c r="P63" s="24"/>
      <c r="Q63" s="24"/>
      <c r="R63" s="71"/>
      <c r="S63" s="71"/>
      <c r="T63" s="71"/>
      <c r="U63" s="71"/>
      <c r="V63" s="71"/>
      <c r="W63" s="71"/>
      <c r="X63" s="71"/>
      <c r="Y63" s="71"/>
      <c r="Z63" s="71"/>
      <c r="AA63" s="71"/>
      <c r="AB63" s="71"/>
      <c r="AC63" s="22"/>
      <c r="AD63" s="22"/>
      <c r="AE63" s="22"/>
      <c r="AF63" s="22"/>
      <c r="AG63" s="22"/>
      <c r="AH63" s="22"/>
      <c r="AI63" s="22"/>
      <c r="AJ63" s="22"/>
      <c r="AK63" s="22"/>
      <c r="AL63" s="22"/>
      <c r="AM63" s="22"/>
      <c r="AN63" s="22"/>
      <c r="AO63" s="22"/>
      <c r="AP63" s="22"/>
      <c r="AQ63" s="22"/>
      <c r="AR63" s="22"/>
      <c r="AS63" s="22"/>
    </row>
    <row r="64" spans="1:45" x14ac:dyDescent="0.3">
      <c r="A64" s="22"/>
      <c r="B64" s="71"/>
      <c r="C64" s="24"/>
      <c r="D64" s="31"/>
      <c r="E64" s="24"/>
      <c r="F64" s="24"/>
      <c r="G64" s="24"/>
      <c r="H64" s="31"/>
      <c r="I64" s="24"/>
      <c r="J64" s="24"/>
      <c r="K64" s="24"/>
      <c r="L64" s="31"/>
      <c r="M64" s="78"/>
      <c r="N64" s="78"/>
      <c r="O64" s="24"/>
      <c r="P64" s="24"/>
      <c r="Q64" s="24"/>
      <c r="R64" s="71"/>
      <c r="S64" s="71"/>
      <c r="T64" s="71"/>
      <c r="U64" s="71"/>
      <c r="V64" s="71"/>
      <c r="W64" s="71"/>
      <c r="X64" s="71"/>
      <c r="Y64" s="71"/>
      <c r="Z64" s="71"/>
      <c r="AA64" s="71"/>
      <c r="AB64" s="71"/>
      <c r="AC64" s="22"/>
      <c r="AD64" s="22"/>
      <c r="AE64" s="22"/>
      <c r="AF64" s="22"/>
      <c r="AG64" s="22"/>
      <c r="AH64" s="22"/>
      <c r="AI64" s="22"/>
      <c r="AJ64" s="22"/>
      <c r="AK64" s="22"/>
      <c r="AL64" s="22"/>
      <c r="AM64" s="22"/>
      <c r="AN64" s="22"/>
      <c r="AO64" s="22"/>
      <c r="AP64" s="22"/>
      <c r="AQ64" s="22"/>
      <c r="AR64" s="22"/>
      <c r="AS64" s="22"/>
    </row>
    <row r="65" spans="1:45" x14ac:dyDescent="0.3">
      <c r="A65" s="22"/>
      <c r="B65" s="71"/>
      <c r="C65" s="24"/>
      <c r="D65" s="31"/>
      <c r="E65" s="24"/>
      <c r="F65" s="24"/>
      <c r="G65" s="24"/>
      <c r="H65" s="31"/>
      <c r="I65" s="24"/>
      <c r="J65" s="24"/>
      <c r="K65" s="24"/>
      <c r="L65" s="31"/>
      <c r="M65" s="78"/>
      <c r="N65" s="78"/>
      <c r="O65" s="24"/>
      <c r="P65" s="24"/>
      <c r="Q65" s="24"/>
      <c r="R65" s="71"/>
      <c r="S65" s="71"/>
      <c r="T65" s="71"/>
      <c r="U65" s="71"/>
      <c r="V65" s="71"/>
      <c r="W65" s="71"/>
      <c r="X65" s="71"/>
      <c r="Y65" s="71"/>
      <c r="Z65" s="71"/>
      <c r="AA65" s="71"/>
      <c r="AB65" s="71"/>
      <c r="AC65" s="22"/>
      <c r="AD65" s="22"/>
      <c r="AE65" s="22"/>
      <c r="AF65" s="22"/>
      <c r="AG65" s="22"/>
      <c r="AH65" s="22"/>
      <c r="AI65" s="22"/>
      <c r="AJ65" s="22"/>
      <c r="AK65" s="22"/>
      <c r="AL65" s="22"/>
      <c r="AM65" s="22"/>
      <c r="AN65" s="22"/>
      <c r="AO65" s="22"/>
      <c r="AP65" s="22"/>
      <c r="AQ65" s="22"/>
      <c r="AR65" s="22"/>
      <c r="AS65" s="22"/>
    </row>
    <row r="66" spans="1:45" x14ac:dyDescent="0.3">
      <c r="A66" s="22"/>
      <c r="B66" s="71"/>
      <c r="C66" s="24"/>
      <c r="D66" s="31"/>
      <c r="E66" s="24"/>
      <c r="F66" s="24"/>
      <c r="G66" s="24"/>
      <c r="H66" s="31"/>
      <c r="I66" s="24"/>
      <c r="J66" s="24"/>
      <c r="K66" s="24"/>
      <c r="L66" s="31"/>
      <c r="M66" s="78"/>
      <c r="N66" s="78"/>
      <c r="O66" s="24"/>
      <c r="P66" s="24"/>
      <c r="Q66" s="24"/>
      <c r="R66" s="71"/>
      <c r="S66" s="71"/>
      <c r="T66" s="71"/>
      <c r="U66" s="71"/>
      <c r="V66" s="71"/>
      <c r="W66" s="71"/>
      <c r="X66" s="71"/>
      <c r="Y66" s="71"/>
      <c r="Z66" s="71"/>
      <c r="AA66" s="71"/>
      <c r="AB66" s="71"/>
      <c r="AC66" s="22"/>
      <c r="AD66" s="22"/>
      <c r="AE66" s="22"/>
      <c r="AF66" s="22"/>
      <c r="AG66" s="22"/>
      <c r="AH66" s="22"/>
      <c r="AI66" s="22"/>
      <c r="AJ66" s="22"/>
      <c r="AK66" s="22"/>
      <c r="AL66" s="22"/>
      <c r="AM66" s="22"/>
      <c r="AN66" s="22"/>
      <c r="AO66" s="22"/>
      <c r="AP66" s="22"/>
      <c r="AQ66" s="22"/>
      <c r="AR66" s="22"/>
      <c r="AS66" s="22"/>
    </row>
    <row r="67" spans="1:45" x14ac:dyDescent="0.3">
      <c r="A67" s="22"/>
      <c r="B67" s="71"/>
      <c r="C67" s="24"/>
      <c r="D67" s="31"/>
      <c r="E67" s="24"/>
      <c r="F67" s="24"/>
      <c r="G67" s="24"/>
      <c r="H67" s="31"/>
      <c r="I67" s="24"/>
      <c r="J67" s="24"/>
      <c r="K67" s="24"/>
      <c r="L67" s="31"/>
      <c r="M67" s="78"/>
      <c r="N67" s="78"/>
      <c r="O67" s="24"/>
      <c r="P67" s="24"/>
      <c r="Q67" s="24"/>
      <c r="R67" s="71"/>
      <c r="S67" s="71"/>
      <c r="T67" s="71"/>
      <c r="U67" s="71"/>
      <c r="V67" s="71"/>
      <c r="W67" s="71"/>
      <c r="X67" s="71"/>
      <c r="Y67" s="71"/>
      <c r="Z67" s="71"/>
      <c r="AA67" s="71"/>
      <c r="AB67" s="71"/>
      <c r="AC67" s="22"/>
      <c r="AD67" s="22"/>
      <c r="AE67" s="22"/>
      <c r="AF67" s="22"/>
      <c r="AG67" s="22"/>
      <c r="AH67" s="22"/>
      <c r="AI67" s="22"/>
      <c r="AJ67" s="22"/>
      <c r="AK67" s="22"/>
      <c r="AL67" s="22"/>
      <c r="AM67" s="22"/>
      <c r="AN67" s="22"/>
      <c r="AO67" s="22"/>
      <c r="AP67" s="22"/>
      <c r="AQ67" s="22"/>
      <c r="AR67" s="22"/>
      <c r="AS67" s="22"/>
    </row>
    <row r="68" spans="1:45" x14ac:dyDescent="0.3">
      <c r="A68" s="22"/>
      <c r="B68" s="71"/>
      <c r="C68" s="24"/>
      <c r="D68" s="31"/>
      <c r="E68" s="24"/>
      <c r="F68" s="24"/>
      <c r="G68" s="24"/>
      <c r="H68" s="31"/>
      <c r="I68" s="24"/>
      <c r="J68" s="24"/>
      <c r="K68" s="24"/>
      <c r="L68" s="31"/>
      <c r="M68" s="78"/>
      <c r="N68" s="78"/>
      <c r="O68" s="24"/>
      <c r="P68" s="24"/>
      <c r="Q68" s="24"/>
      <c r="R68" s="71"/>
      <c r="S68" s="71"/>
      <c r="T68" s="71"/>
      <c r="U68" s="71"/>
      <c r="V68" s="71"/>
      <c r="W68" s="71"/>
      <c r="X68" s="71"/>
      <c r="Y68" s="71"/>
      <c r="Z68" s="71"/>
      <c r="AA68" s="71"/>
      <c r="AB68" s="71"/>
      <c r="AC68" s="22"/>
      <c r="AD68" s="22"/>
      <c r="AE68" s="22"/>
      <c r="AF68" s="22"/>
      <c r="AG68" s="22"/>
      <c r="AH68" s="22"/>
      <c r="AI68" s="22"/>
      <c r="AJ68" s="22"/>
      <c r="AK68" s="22"/>
      <c r="AL68" s="22"/>
      <c r="AM68" s="22"/>
      <c r="AN68" s="22"/>
      <c r="AO68" s="22"/>
      <c r="AP68" s="22"/>
      <c r="AQ68" s="22"/>
      <c r="AR68" s="22"/>
      <c r="AS68" s="22"/>
    </row>
    <row r="69" spans="1:45" x14ac:dyDescent="0.3">
      <c r="A69" s="22"/>
      <c r="B69" s="71"/>
      <c r="C69" s="22"/>
      <c r="D69" s="23"/>
      <c r="E69" s="22"/>
      <c r="F69" s="22"/>
      <c r="G69" s="22"/>
      <c r="H69" s="23"/>
      <c r="I69" s="22"/>
      <c r="J69" s="22"/>
      <c r="K69" s="22"/>
      <c r="L69" s="23"/>
      <c r="M69" s="71"/>
      <c r="N69" s="71"/>
      <c r="O69" s="22"/>
      <c r="P69" s="22"/>
      <c r="Q69" s="22"/>
      <c r="R69" s="71"/>
      <c r="S69" s="71"/>
      <c r="T69" s="71"/>
      <c r="U69" s="71"/>
      <c r="V69" s="71"/>
      <c r="W69" s="71"/>
      <c r="X69" s="71"/>
      <c r="Y69" s="71"/>
      <c r="Z69" s="71"/>
      <c r="AA69" s="71"/>
      <c r="AB69" s="71"/>
      <c r="AC69" s="22"/>
      <c r="AD69" s="22"/>
      <c r="AE69" s="22"/>
      <c r="AF69" s="22"/>
      <c r="AG69" s="22"/>
      <c r="AH69" s="22"/>
      <c r="AI69" s="22"/>
      <c r="AJ69" s="22"/>
      <c r="AK69" s="22"/>
      <c r="AL69" s="22"/>
      <c r="AM69" s="22"/>
      <c r="AN69" s="22"/>
      <c r="AO69" s="22"/>
      <c r="AP69" s="22"/>
      <c r="AQ69" s="22"/>
      <c r="AR69" s="22"/>
      <c r="AS69" s="22"/>
    </row>
    <row r="70" spans="1:45" x14ac:dyDescent="0.3">
      <c r="A70" s="22"/>
      <c r="B70" s="71"/>
      <c r="C70" s="22"/>
      <c r="D70" s="23"/>
      <c r="E70" s="22"/>
      <c r="F70" s="22"/>
      <c r="G70" s="22"/>
      <c r="H70" s="23"/>
      <c r="I70" s="22"/>
      <c r="J70" s="22"/>
      <c r="K70" s="22"/>
      <c r="L70" s="23"/>
      <c r="M70" s="71"/>
      <c r="N70" s="71"/>
      <c r="O70" s="22"/>
      <c r="P70" s="22"/>
      <c r="Q70" s="22"/>
      <c r="R70" s="71"/>
      <c r="S70" s="71"/>
      <c r="T70" s="71"/>
      <c r="U70" s="71"/>
      <c r="V70" s="71"/>
      <c r="W70" s="71"/>
      <c r="X70" s="71"/>
      <c r="Y70" s="71"/>
      <c r="Z70" s="71"/>
      <c r="AA70" s="71"/>
      <c r="AB70" s="71"/>
      <c r="AC70" s="22"/>
      <c r="AD70" s="22"/>
      <c r="AE70" s="22"/>
      <c r="AF70" s="22"/>
      <c r="AG70" s="22"/>
      <c r="AH70" s="22"/>
      <c r="AI70" s="22"/>
      <c r="AJ70" s="22"/>
      <c r="AK70" s="22"/>
      <c r="AL70" s="22"/>
      <c r="AM70" s="22"/>
      <c r="AN70" s="22"/>
      <c r="AO70" s="22"/>
      <c r="AP70" s="22"/>
      <c r="AQ70" s="22"/>
      <c r="AR70" s="22"/>
      <c r="AS70" s="22"/>
    </row>
    <row r="71" spans="1:45" x14ac:dyDescent="0.3">
      <c r="A71" s="22"/>
      <c r="B71" s="71"/>
      <c r="C71" s="22"/>
      <c r="D71" s="23"/>
      <c r="E71" s="22"/>
      <c r="F71" s="22"/>
      <c r="G71" s="22"/>
      <c r="H71" s="23"/>
      <c r="I71" s="22"/>
      <c r="J71" s="22"/>
      <c r="K71" s="22"/>
      <c r="L71" s="23"/>
      <c r="M71" s="71"/>
      <c r="N71" s="71"/>
      <c r="O71" s="22"/>
      <c r="P71" s="22"/>
      <c r="Q71" s="22"/>
      <c r="R71" s="71"/>
      <c r="S71" s="71"/>
      <c r="T71" s="71"/>
      <c r="U71" s="71"/>
      <c r="V71" s="71"/>
      <c r="W71" s="71"/>
      <c r="X71" s="71"/>
      <c r="Y71" s="71"/>
      <c r="Z71" s="71"/>
      <c r="AA71" s="71"/>
      <c r="AB71" s="71"/>
      <c r="AC71" s="22"/>
      <c r="AD71" s="22"/>
      <c r="AE71" s="22"/>
      <c r="AF71" s="22"/>
      <c r="AG71" s="22"/>
      <c r="AH71" s="22"/>
      <c r="AI71" s="22"/>
      <c r="AJ71" s="22"/>
      <c r="AK71" s="22"/>
      <c r="AL71" s="22"/>
      <c r="AM71" s="22"/>
      <c r="AN71" s="22"/>
      <c r="AO71" s="22"/>
      <c r="AP71" s="22"/>
      <c r="AQ71" s="22"/>
      <c r="AR71" s="22"/>
      <c r="AS71" s="22"/>
    </row>
    <row r="72" spans="1:45" x14ac:dyDescent="0.3">
      <c r="A72" s="22"/>
      <c r="B72" s="71"/>
      <c r="C72" s="22"/>
      <c r="D72" s="23"/>
      <c r="E72" s="22"/>
      <c r="F72" s="22"/>
      <c r="G72" s="22"/>
      <c r="H72" s="23"/>
      <c r="I72" s="22"/>
      <c r="J72" s="22"/>
      <c r="K72" s="22"/>
      <c r="L72" s="23"/>
      <c r="M72" s="71"/>
      <c r="N72" s="71"/>
      <c r="O72" s="22"/>
      <c r="P72" s="22"/>
      <c r="Q72" s="22"/>
      <c r="R72" s="71"/>
      <c r="S72" s="71"/>
      <c r="T72" s="71"/>
      <c r="U72" s="71"/>
      <c r="V72" s="71"/>
      <c r="W72" s="71"/>
      <c r="X72" s="71"/>
      <c r="Y72" s="71"/>
      <c r="Z72" s="71"/>
      <c r="AA72" s="71"/>
      <c r="AB72" s="71"/>
      <c r="AC72" s="22"/>
      <c r="AD72" s="22"/>
      <c r="AE72" s="22"/>
      <c r="AF72" s="22"/>
      <c r="AG72" s="22"/>
      <c r="AH72" s="22"/>
      <c r="AI72" s="22"/>
      <c r="AJ72" s="22"/>
      <c r="AK72" s="22"/>
      <c r="AL72" s="22"/>
      <c r="AM72" s="22"/>
      <c r="AN72" s="22"/>
      <c r="AO72" s="22"/>
      <c r="AP72" s="22"/>
      <c r="AQ72" s="22"/>
      <c r="AR72" s="22"/>
      <c r="AS72" s="22"/>
    </row>
    <row r="73" spans="1:45" x14ac:dyDescent="0.3">
      <c r="A73" s="22"/>
      <c r="B73" s="71"/>
      <c r="C73" s="22"/>
      <c r="D73" s="23"/>
      <c r="E73" s="22"/>
      <c r="F73" s="22"/>
      <c r="G73" s="22"/>
      <c r="H73" s="23"/>
      <c r="I73" s="22"/>
      <c r="J73" s="22"/>
      <c r="K73" s="22"/>
      <c r="L73" s="23"/>
      <c r="M73" s="71"/>
      <c r="N73" s="71"/>
      <c r="O73" s="22"/>
      <c r="P73" s="22"/>
      <c r="Q73" s="22"/>
      <c r="R73" s="71"/>
      <c r="S73" s="71"/>
      <c r="T73" s="71"/>
      <c r="U73" s="71"/>
      <c r="V73" s="71"/>
      <c r="W73" s="71"/>
      <c r="X73" s="71"/>
      <c r="Y73" s="71"/>
      <c r="Z73" s="71"/>
      <c r="AA73" s="71"/>
      <c r="AB73" s="71"/>
      <c r="AC73" s="22"/>
      <c r="AD73" s="22"/>
      <c r="AE73" s="22"/>
      <c r="AF73" s="22"/>
      <c r="AG73" s="22"/>
      <c r="AH73" s="22"/>
      <c r="AI73" s="22"/>
      <c r="AJ73" s="22"/>
      <c r="AK73" s="22"/>
      <c r="AL73" s="22"/>
      <c r="AM73" s="22"/>
      <c r="AN73" s="22"/>
      <c r="AO73" s="22"/>
      <c r="AP73" s="22"/>
      <c r="AQ73" s="22"/>
      <c r="AR73" s="22"/>
      <c r="AS73" s="22"/>
    </row>
    <row r="74" spans="1:45" x14ac:dyDescent="0.3">
      <c r="A74" s="22"/>
      <c r="B74" s="71"/>
      <c r="C74" s="22"/>
      <c r="D74" s="23"/>
      <c r="E74" s="22"/>
      <c r="F74" s="22"/>
      <c r="G74" s="22"/>
      <c r="H74" s="23"/>
      <c r="I74" s="22"/>
      <c r="J74" s="22"/>
      <c r="K74" s="22"/>
      <c r="L74" s="23"/>
      <c r="M74" s="71"/>
      <c r="N74" s="71"/>
      <c r="O74" s="22"/>
      <c r="P74" s="22"/>
      <c r="Q74" s="22"/>
      <c r="R74" s="71"/>
      <c r="S74" s="71"/>
      <c r="T74" s="71"/>
      <c r="U74" s="71"/>
      <c r="V74" s="71"/>
      <c r="W74" s="71"/>
      <c r="X74" s="71"/>
      <c r="Y74" s="71"/>
      <c r="Z74" s="71"/>
      <c r="AA74" s="71"/>
      <c r="AB74" s="71"/>
      <c r="AC74" s="22"/>
      <c r="AD74" s="22"/>
      <c r="AE74" s="22"/>
      <c r="AF74" s="22"/>
      <c r="AG74" s="22"/>
      <c r="AH74" s="22"/>
      <c r="AI74" s="22"/>
      <c r="AJ74" s="22"/>
      <c r="AK74" s="22"/>
      <c r="AL74" s="22"/>
      <c r="AM74" s="22"/>
      <c r="AN74" s="22"/>
      <c r="AO74" s="22"/>
      <c r="AP74" s="22"/>
      <c r="AQ74" s="22"/>
      <c r="AR74" s="22"/>
      <c r="AS74" s="22"/>
    </row>
    <row r="75" spans="1:45" x14ac:dyDescent="0.3">
      <c r="A75" s="22"/>
      <c r="B75" s="71"/>
      <c r="C75" s="22"/>
      <c r="D75" s="23"/>
      <c r="E75" s="22"/>
      <c r="F75" s="22"/>
      <c r="G75" s="22"/>
      <c r="H75" s="23"/>
      <c r="I75" s="22"/>
      <c r="J75" s="22"/>
      <c r="K75" s="22"/>
      <c r="L75" s="23"/>
      <c r="M75" s="71"/>
      <c r="N75" s="71"/>
      <c r="O75" s="22"/>
      <c r="P75" s="22"/>
      <c r="Q75" s="22"/>
      <c r="R75" s="71"/>
      <c r="S75" s="71"/>
      <c r="T75" s="71"/>
      <c r="U75" s="71"/>
      <c r="V75" s="71"/>
      <c r="W75" s="71"/>
      <c r="X75" s="71"/>
      <c r="Y75" s="71"/>
      <c r="Z75" s="71"/>
      <c r="AA75" s="71"/>
      <c r="AB75" s="71"/>
      <c r="AC75" s="22"/>
      <c r="AD75" s="22"/>
      <c r="AE75" s="22"/>
      <c r="AF75" s="22"/>
      <c r="AG75" s="22"/>
      <c r="AH75" s="22"/>
      <c r="AI75" s="22"/>
      <c r="AJ75" s="22"/>
      <c r="AK75" s="22"/>
      <c r="AL75" s="22"/>
      <c r="AM75" s="22"/>
      <c r="AN75" s="22"/>
      <c r="AO75" s="22"/>
      <c r="AP75" s="22"/>
      <c r="AQ75" s="22"/>
      <c r="AR75" s="22"/>
      <c r="AS75" s="22"/>
    </row>
    <row r="76" spans="1:45" x14ac:dyDescent="0.3">
      <c r="A76" s="22"/>
      <c r="B76" s="71"/>
      <c r="C76" s="22"/>
      <c r="D76" s="23"/>
      <c r="E76" s="22"/>
      <c r="F76" s="22"/>
      <c r="G76" s="22"/>
      <c r="H76" s="23"/>
      <c r="I76" s="22"/>
      <c r="J76" s="22"/>
      <c r="K76" s="22"/>
      <c r="L76" s="23"/>
      <c r="M76" s="71"/>
      <c r="N76" s="71"/>
      <c r="O76" s="22"/>
      <c r="P76" s="22"/>
      <c r="Q76" s="22"/>
      <c r="R76" s="71"/>
      <c r="S76" s="71"/>
      <c r="T76" s="71"/>
      <c r="U76" s="71"/>
      <c r="V76" s="71"/>
      <c r="W76" s="71"/>
      <c r="X76" s="71"/>
      <c r="Y76" s="71"/>
      <c r="Z76" s="71"/>
      <c r="AA76" s="71"/>
      <c r="AB76" s="71"/>
      <c r="AC76" s="22"/>
      <c r="AD76" s="22"/>
      <c r="AE76" s="22"/>
      <c r="AF76" s="22"/>
      <c r="AG76" s="22"/>
      <c r="AH76" s="22"/>
      <c r="AI76" s="22"/>
      <c r="AJ76" s="22"/>
      <c r="AK76" s="22"/>
      <c r="AL76" s="22"/>
      <c r="AM76" s="22"/>
      <c r="AN76" s="22"/>
      <c r="AO76" s="22"/>
      <c r="AP76" s="22"/>
      <c r="AQ76" s="22"/>
      <c r="AR76" s="22"/>
      <c r="AS76" s="22"/>
    </row>
    <row r="77" spans="1:45" x14ac:dyDescent="0.3">
      <c r="A77" s="22"/>
      <c r="B77" s="71"/>
      <c r="C77" s="22"/>
      <c r="D77" s="23"/>
      <c r="E77" s="22"/>
      <c r="F77" s="22"/>
      <c r="G77" s="22"/>
      <c r="H77" s="23"/>
      <c r="I77" s="22"/>
      <c r="J77" s="22"/>
      <c r="K77" s="22"/>
      <c r="L77" s="23"/>
      <c r="M77" s="71"/>
      <c r="N77" s="71"/>
      <c r="O77" s="22"/>
      <c r="P77" s="22"/>
      <c r="Q77" s="22"/>
      <c r="R77" s="71"/>
      <c r="S77" s="71"/>
      <c r="T77" s="71"/>
      <c r="U77" s="71"/>
      <c r="V77" s="71"/>
      <c r="W77" s="71"/>
      <c r="X77" s="71"/>
      <c r="Y77" s="71"/>
      <c r="Z77" s="71"/>
      <c r="AA77" s="71"/>
      <c r="AB77" s="71"/>
      <c r="AC77" s="22"/>
      <c r="AD77" s="22"/>
      <c r="AE77" s="22"/>
      <c r="AF77" s="22"/>
      <c r="AG77" s="22"/>
      <c r="AH77" s="22"/>
      <c r="AI77" s="22"/>
      <c r="AJ77" s="22"/>
      <c r="AK77" s="22"/>
      <c r="AL77" s="22"/>
      <c r="AM77" s="22"/>
      <c r="AN77" s="22"/>
      <c r="AO77" s="22"/>
      <c r="AP77" s="22"/>
      <c r="AQ77" s="22"/>
      <c r="AR77" s="22"/>
      <c r="AS77" s="22"/>
    </row>
    <row r="78" spans="1:45" x14ac:dyDescent="0.3">
      <c r="A78" s="22"/>
      <c r="B78" s="71"/>
      <c r="C78" s="22"/>
      <c r="D78" s="23"/>
      <c r="E78" s="22"/>
      <c r="F78" s="22"/>
      <c r="G78" s="22"/>
      <c r="H78" s="23"/>
      <c r="I78" s="22"/>
      <c r="J78" s="22"/>
      <c r="K78" s="22"/>
      <c r="L78" s="23"/>
      <c r="M78" s="71"/>
      <c r="N78" s="71"/>
      <c r="O78" s="22"/>
      <c r="P78" s="22"/>
      <c r="Q78" s="22"/>
      <c r="R78" s="71"/>
      <c r="S78" s="71"/>
      <c r="T78" s="71"/>
      <c r="U78" s="71"/>
      <c r="V78" s="71"/>
      <c r="W78" s="71"/>
      <c r="X78" s="71"/>
      <c r="Y78" s="71"/>
      <c r="Z78" s="71"/>
      <c r="AA78" s="71"/>
      <c r="AB78" s="71"/>
      <c r="AC78" s="22"/>
      <c r="AD78" s="22"/>
      <c r="AE78" s="22"/>
      <c r="AF78" s="22"/>
      <c r="AG78" s="22"/>
      <c r="AH78" s="22"/>
      <c r="AI78" s="22"/>
      <c r="AJ78" s="22"/>
      <c r="AK78" s="22"/>
      <c r="AL78" s="22"/>
      <c r="AM78" s="22"/>
      <c r="AN78" s="22"/>
      <c r="AO78" s="22"/>
      <c r="AP78" s="22"/>
      <c r="AQ78" s="22"/>
      <c r="AR78" s="22"/>
      <c r="AS78" s="22"/>
    </row>
    <row r="79" spans="1:45" x14ac:dyDescent="0.3">
      <c r="A79" s="22"/>
      <c r="B79" s="71"/>
      <c r="C79" s="22"/>
      <c r="D79" s="23"/>
      <c r="E79" s="22"/>
      <c r="F79" s="22"/>
      <c r="G79" s="22"/>
      <c r="H79" s="23"/>
      <c r="I79" s="22"/>
      <c r="J79" s="22"/>
      <c r="K79" s="22"/>
      <c r="L79" s="23"/>
      <c r="M79" s="71"/>
      <c r="N79" s="71"/>
      <c r="O79" s="22"/>
      <c r="P79" s="22"/>
      <c r="Q79" s="22"/>
      <c r="R79" s="71"/>
      <c r="S79" s="71"/>
      <c r="T79" s="71"/>
      <c r="U79" s="71"/>
      <c r="V79" s="71"/>
      <c r="W79" s="71"/>
      <c r="X79" s="71"/>
      <c r="Y79" s="71"/>
      <c r="Z79" s="71"/>
      <c r="AA79" s="71"/>
      <c r="AB79" s="71"/>
      <c r="AC79" s="22"/>
      <c r="AD79" s="22"/>
      <c r="AE79" s="22"/>
      <c r="AF79" s="22"/>
      <c r="AG79" s="22"/>
      <c r="AH79" s="22"/>
      <c r="AI79" s="22"/>
      <c r="AJ79" s="22"/>
      <c r="AK79" s="22"/>
      <c r="AL79" s="22"/>
      <c r="AM79" s="22"/>
      <c r="AN79" s="22"/>
      <c r="AO79" s="22"/>
      <c r="AP79" s="22"/>
      <c r="AQ79" s="22"/>
      <c r="AR79" s="22"/>
      <c r="AS79" s="22"/>
    </row>
    <row r="80" spans="1:45" x14ac:dyDescent="0.3">
      <c r="A80" s="22"/>
      <c r="B80" s="71"/>
      <c r="C80" s="22"/>
      <c r="D80" s="23"/>
      <c r="E80" s="22"/>
      <c r="F80" s="22"/>
      <c r="G80" s="22"/>
      <c r="H80" s="23"/>
      <c r="I80" s="22"/>
      <c r="J80" s="22"/>
      <c r="K80" s="22"/>
      <c r="L80" s="23"/>
      <c r="M80" s="71"/>
      <c r="N80" s="71"/>
      <c r="O80" s="22"/>
      <c r="P80" s="22"/>
      <c r="Q80" s="22"/>
      <c r="R80" s="71"/>
      <c r="S80" s="71"/>
      <c r="T80" s="71"/>
      <c r="U80" s="71"/>
      <c r="V80" s="71"/>
      <c r="W80" s="71"/>
      <c r="X80" s="71"/>
      <c r="Y80" s="71"/>
      <c r="Z80" s="71"/>
      <c r="AA80" s="71"/>
      <c r="AB80" s="71"/>
      <c r="AC80" s="22"/>
      <c r="AD80" s="22"/>
      <c r="AE80" s="22"/>
      <c r="AF80" s="22"/>
      <c r="AG80" s="22"/>
      <c r="AH80" s="22"/>
      <c r="AI80" s="22"/>
      <c r="AJ80" s="22"/>
      <c r="AK80" s="22"/>
      <c r="AL80" s="22"/>
      <c r="AM80" s="22"/>
      <c r="AN80" s="22"/>
      <c r="AO80" s="22"/>
      <c r="AP80" s="22"/>
      <c r="AQ80" s="22"/>
      <c r="AR80" s="22"/>
      <c r="AS80" s="22"/>
    </row>
    <row r="81" spans="1:45" x14ac:dyDescent="0.3">
      <c r="A81" s="22"/>
      <c r="B81" s="71"/>
      <c r="C81" s="22"/>
      <c r="D81" s="23"/>
      <c r="E81" s="22"/>
      <c r="F81" s="22"/>
      <c r="G81" s="22"/>
      <c r="H81" s="23"/>
      <c r="I81" s="22"/>
      <c r="J81" s="22"/>
      <c r="K81" s="22"/>
      <c r="L81" s="23"/>
      <c r="M81" s="71"/>
      <c r="N81" s="71"/>
      <c r="O81" s="22"/>
      <c r="P81" s="22"/>
      <c r="Q81" s="22"/>
      <c r="R81" s="71"/>
      <c r="S81" s="71"/>
      <c r="T81" s="71"/>
      <c r="U81" s="71"/>
      <c r="V81" s="71"/>
      <c r="W81" s="71"/>
      <c r="X81" s="71"/>
      <c r="Y81" s="71"/>
      <c r="Z81" s="71"/>
      <c r="AA81" s="71"/>
      <c r="AB81" s="71"/>
      <c r="AC81" s="22"/>
      <c r="AD81" s="22"/>
      <c r="AE81" s="22"/>
      <c r="AF81" s="22"/>
      <c r="AG81" s="22"/>
      <c r="AH81" s="22"/>
      <c r="AI81" s="22"/>
      <c r="AJ81" s="22"/>
      <c r="AK81" s="22"/>
      <c r="AL81" s="22"/>
      <c r="AM81" s="22"/>
      <c r="AN81" s="22"/>
      <c r="AO81" s="22"/>
      <c r="AP81" s="22"/>
      <c r="AQ81" s="22"/>
      <c r="AR81" s="22"/>
      <c r="AS81" s="22"/>
    </row>
    <row r="82" spans="1:45" x14ac:dyDescent="0.3">
      <c r="A82" s="22"/>
      <c r="B82" s="71"/>
      <c r="C82" s="22"/>
      <c r="D82" s="23"/>
      <c r="E82" s="22"/>
      <c r="F82" s="22"/>
      <c r="G82" s="22"/>
      <c r="H82" s="23"/>
      <c r="I82" s="22"/>
      <c r="J82" s="22"/>
      <c r="K82" s="22"/>
      <c r="L82" s="23"/>
      <c r="M82" s="71"/>
      <c r="N82" s="71"/>
      <c r="O82" s="22"/>
      <c r="P82" s="22"/>
      <c r="Q82" s="22"/>
      <c r="R82" s="71"/>
      <c r="S82" s="71"/>
      <c r="T82" s="71"/>
      <c r="U82" s="71"/>
      <c r="V82" s="71"/>
      <c r="W82" s="71"/>
      <c r="X82" s="71"/>
      <c r="Y82" s="71"/>
      <c r="Z82" s="71"/>
      <c r="AA82" s="71"/>
      <c r="AB82" s="71"/>
      <c r="AC82" s="22"/>
      <c r="AD82" s="22"/>
      <c r="AE82" s="22"/>
      <c r="AF82" s="22"/>
      <c r="AG82" s="22"/>
      <c r="AH82" s="22"/>
      <c r="AI82" s="22"/>
      <c r="AJ82" s="22"/>
      <c r="AK82" s="22"/>
      <c r="AL82" s="22"/>
      <c r="AM82" s="22"/>
      <c r="AN82" s="22"/>
      <c r="AO82" s="22"/>
      <c r="AP82" s="22"/>
      <c r="AQ82" s="22"/>
      <c r="AR82" s="22"/>
      <c r="AS82" s="22"/>
    </row>
    <row r="83" spans="1:45" x14ac:dyDescent="0.3">
      <c r="A83" s="22"/>
      <c r="B83" s="71"/>
      <c r="C83" s="22"/>
      <c r="D83" s="23"/>
      <c r="E83" s="22"/>
      <c r="F83" s="22"/>
      <c r="G83" s="22"/>
      <c r="H83" s="23"/>
      <c r="I83" s="22"/>
      <c r="J83" s="22"/>
      <c r="K83" s="22"/>
      <c r="L83" s="23"/>
      <c r="M83" s="71"/>
      <c r="N83" s="71"/>
      <c r="O83" s="22"/>
      <c r="P83" s="22"/>
      <c r="Q83" s="22"/>
      <c r="R83" s="71"/>
      <c r="S83" s="71"/>
      <c r="T83" s="71"/>
      <c r="U83" s="71"/>
      <c r="V83" s="71"/>
      <c r="W83" s="71"/>
      <c r="X83" s="71"/>
      <c r="Y83" s="71"/>
      <c r="Z83" s="71"/>
      <c r="AA83" s="71"/>
      <c r="AB83" s="71"/>
      <c r="AC83" s="22"/>
      <c r="AD83" s="22"/>
      <c r="AE83" s="22"/>
      <c r="AF83" s="22"/>
      <c r="AG83" s="22"/>
      <c r="AH83" s="22"/>
      <c r="AI83" s="22"/>
      <c r="AJ83" s="22"/>
      <c r="AK83" s="22"/>
      <c r="AL83" s="22"/>
      <c r="AM83" s="22"/>
      <c r="AN83" s="22"/>
      <c r="AO83" s="22"/>
      <c r="AP83" s="22"/>
      <c r="AQ83" s="22"/>
      <c r="AR83" s="22"/>
      <c r="AS83" s="22"/>
    </row>
    <row r="84" spans="1:45" x14ac:dyDescent="0.3">
      <c r="A84" s="22"/>
      <c r="B84" s="71"/>
      <c r="C84" s="22"/>
      <c r="D84" s="23"/>
      <c r="E84" s="22"/>
      <c r="F84" s="22"/>
      <c r="G84" s="22"/>
      <c r="H84" s="23"/>
      <c r="I84" s="22"/>
      <c r="J84" s="22"/>
      <c r="K84" s="22"/>
      <c r="L84" s="23"/>
      <c r="M84" s="71"/>
      <c r="N84" s="71"/>
      <c r="O84" s="22"/>
      <c r="P84" s="22"/>
      <c r="Q84" s="22"/>
      <c r="R84" s="71"/>
      <c r="S84" s="71"/>
      <c r="T84" s="71"/>
      <c r="U84" s="71"/>
      <c r="V84" s="71"/>
      <c r="W84" s="71"/>
      <c r="X84" s="71"/>
      <c r="Y84" s="71"/>
      <c r="Z84" s="71"/>
      <c r="AA84" s="71"/>
      <c r="AB84" s="71"/>
      <c r="AC84" s="22"/>
      <c r="AD84" s="22"/>
      <c r="AE84" s="22"/>
      <c r="AF84" s="22"/>
      <c r="AG84" s="22"/>
      <c r="AH84" s="22"/>
      <c r="AI84" s="22"/>
      <c r="AJ84" s="22"/>
      <c r="AK84" s="22"/>
      <c r="AL84" s="22"/>
      <c r="AM84" s="22"/>
      <c r="AN84" s="22"/>
      <c r="AO84" s="22"/>
      <c r="AP84" s="22"/>
      <c r="AQ84" s="22"/>
      <c r="AR84" s="22"/>
      <c r="AS84" s="22"/>
    </row>
    <row r="85" spans="1:45" x14ac:dyDescent="0.3">
      <c r="A85" s="22"/>
      <c r="B85" s="71"/>
      <c r="C85" s="22"/>
      <c r="D85" s="23"/>
      <c r="E85" s="22"/>
      <c r="F85" s="22"/>
      <c r="G85" s="22"/>
      <c r="H85" s="23"/>
      <c r="I85" s="22"/>
      <c r="J85" s="22"/>
      <c r="K85" s="22"/>
      <c r="L85" s="23"/>
      <c r="M85" s="71"/>
      <c r="N85" s="71"/>
      <c r="O85" s="22"/>
      <c r="P85" s="22"/>
      <c r="Q85" s="22"/>
      <c r="R85" s="71"/>
      <c r="S85" s="71"/>
      <c r="T85" s="71"/>
      <c r="U85" s="71"/>
      <c r="V85" s="71"/>
      <c r="W85" s="71"/>
      <c r="X85" s="71"/>
      <c r="Y85" s="71"/>
      <c r="Z85" s="71"/>
      <c r="AA85" s="71"/>
      <c r="AB85" s="71"/>
      <c r="AC85" s="22"/>
      <c r="AD85" s="22"/>
      <c r="AE85" s="22"/>
      <c r="AF85" s="22"/>
      <c r="AG85" s="22"/>
      <c r="AH85" s="22"/>
      <c r="AI85" s="22"/>
      <c r="AJ85" s="22"/>
      <c r="AK85" s="22"/>
      <c r="AL85" s="22"/>
      <c r="AM85" s="22"/>
      <c r="AN85" s="22"/>
      <c r="AO85" s="22"/>
      <c r="AP85" s="22"/>
      <c r="AQ85" s="22"/>
      <c r="AR85" s="22"/>
      <c r="AS85" s="22"/>
    </row>
    <row r="86" spans="1:45" x14ac:dyDescent="0.3">
      <c r="A86" s="22"/>
      <c r="B86" s="71"/>
      <c r="C86" s="22"/>
      <c r="D86" s="23"/>
      <c r="E86" s="22"/>
      <c r="F86" s="22"/>
      <c r="G86" s="22"/>
      <c r="H86" s="23"/>
      <c r="I86" s="22"/>
      <c r="J86" s="22"/>
      <c r="K86" s="22"/>
      <c r="L86" s="23"/>
      <c r="M86" s="71"/>
      <c r="N86" s="71"/>
      <c r="O86" s="22"/>
      <c r="P86" s="22"/>
      <c r="Q86" s="22"/>
      <c r="R86" s="71"/>
      <c r="S86" s="71"/>
      <c r="T86" s="71"/>
      <c r="U86" s="71"/>
      <c r="V86" s="71"/>
      <c r="W86" s="71"/>
      <c r="X86" s="71"/>
      <c r="Y86" s="71"/>
      <c r="Z86" s="71"/>
      <c r="AA86" s="71"/>
      <c r="AB86" s="71"/>
      <c r="AC86" s="22"/>
      <c r="AD86" s="22"/>
      <c r="AE86" s="22"/>
      <c r="AF86" s="22"/>
      <c r="AG86" s="22"/>
      <c r="AH86" s="22"/>
      <c r="AI86" s="22"/>
      <c r="AJ86" s="22"/>
      <c r="AK86" s="22"/>
      <c r="AL86" s="22"/>
      <c r="AM86" s="22"/>
      <c r="AN86" s="22"/>
      <c r="AO86" s="22"/>
      <c r="AP86" s="22"/>
      <c r="AQ86" s="22"/>
      <c r="AR86" s="22"/>
      <c r="AS86" s="22"/>
    </row>
    <row r="87" spans="1:45" x14ac:dyDescent="0.3">
      <c r="A87" s="22"/>
      <c r="B87" s="71"/>
      <c r="C87" s="22"/>
      <c r="D87" s="23"/>
      <c r="E87" s="22"/>
      <c r="F87" s="22"/>
      <c r="G87" s="22"/>
      <c r="H87" s="23"/>
      <c r="I87" s="22"/>
      <c r="J87" s="22"/>
      <c r="K87" s="22"/>
      <c r="L87" s="23"/>
      <c r="M87" s="71"/>
      <c r="N87" s="71"/>
      <c r="O87" s="22"/>
      <c r="P87" s="22"/>
      <c r="Q87" s="22"/>
      <c r="R87" s="71"/>
      <c r="S87" s="71"/>
      <c r="T87" s="71"/>
      <c r="U87" s="71"/>
      <c r="V87" s="71"/>
      <c r="W87" s="71"/>
      <c r="X87" s="71"/>
      <c r="Y87" s="71"/>
      <c r="Z87" s="71"/>
      <c r="AA87" s="71"/>
      <c r="AB87" s="71"/>
      <c r="AC87" s="22"/>
      <c r="AD87" s="22"/>
      <c r="AE87" s="22"/>
      <c r="AF87" s="22"/>
      <c r="AG87" s="22"/>
      <c r="AH87" s="22"/>
      <c r="AI87" s="22"/>
      <c r="AJ87" s="22"/>
      <c r="AK87" s="22"/>
      <c r="AL87" s="22"/>
      <c r="AM87" s="22"/>
      <c r="AN87" s="22"/>
      <c r="AO87" s="22"/>
      <c r="AP87" s="22"/>
      <c r="AQ87" s="22"/>
      <c r="AR87" s="22"/>
      <c r="AS87" s="22"/>
    </row>
    <row r="88" spans="1:45" x14ac:dyDescent="0.3">
      <c r="A88" s="22"/>
      <c r="B88" s="71"/>
      <c r="C88" s="22"/>
      <c r="D88" s="23"/>
      <c r="E88" s="22"/>
      <c r="F88" s="22"/>
      <c r="G88" s="22"/>
      <c r="H88" s="23"/>
      <c r="I88" s="22"/>
      <c r="J88" s="22"/>
      <c r="K88" s="22"/>
      <c r="L88" s="23"/>
      <c r="M88" s="71"/>
      <c r="N88" s="71"/>
      <c r="O88" s="22"/>
      <c r="P88" s="22"/>
      <c r="Q88" s="22"/>
      <c r="R88" s="71"/>
      <c r="S88" s="71"/>
      <c r="T88" s="71"/>
      <c r="U88" s="71"/>
      <c r="V88" s="71"/>
      <c r="W88" s="71"/>
      <c r="X88" s="71"/>
      <c r="Y88" s="71"/>
      <c r="Z88" s="71"/>
      <c r="AA88" s="71"/>
      <c r="AB88" s="71"/>
      <c r="AC88" s="22"/>
      <c r="AD88" s="22"/>
      <c r="AE88" s="22"/>
      <c r="AF88" s="22"/>
      <c r="AG88" s="22"/>
      <c r="AH88" s="22"/>
      <c r="AI88" s="22"/>
      <c r="AJ88" s="22"/>
      <c r="AK88" s="22"/>
      <c r="AL88" s="22"/>
      <c r="AM88" s="22"/>
      <c r="AN88" s="22"/>
      <c r="AO88" s="22"/>
      <c r="AP88" s="22"/>
      <c r="AQ88" s="22"/>
      <c r="AR88" s="22"/>
      <c r="AS88" s="22"/>
    </row>
    <row r="89" spans="1:45" x14ac:dyDescent="0.3">
      <c r="A89" s="22"/>
      <c r="B89" s="71"/>
      <c r="C89" s="22"/>
      <c r="D89" s="23"/>
      <c r="E89" s="22"/>
      <c r="F89" s="22"/>
      <c r="G89" s="22"/>
      <c r="H89" s="23"/>
      <c r="I89" s="22"/>
      <c r="J89" s="22"/>
      <c r="K89" s="22"/>
      <c r="L89" s="23"/>
      <c r="M89" s="71"/>
      <c r="N89" s="71"/>
      <c r="O89" s="22"/>
      <c r="P89" s="22"/>
      <c r="Q89" s="22"/>
      <c r="R89" s="71"/>
      <c r="S89" s="71"/>
      <c r="T89" s="71"/>
      <c r="U89" s="71"/>
      <c r="V89" s="71"/>
      <c r="W89" s="71"/>
      <c r="X89" s="71"/>
      <c r="Y89" s="71"/>
      <c r="Z89" s="71"/>
      <c r="AA89" s="71"/>
      <c r="AB89" s="71"/>
      <c r="AC89" s="22"/>
      <c r="AD89" s="22"/>
      <c r="AE89" s="22"/>
      <c r="AF89" s="22"/>
      <c r="AG89" s="22"/>
      <c r="AH89" s="22"/>
      <c r="AI89" s="22"/>
      <c r="AJ89" s="22"/>
      <c r="AK89" s="22"/>
      <c r="AL89" s="22"/>
      <c r="AM89" s="22"/>
      <c r="AN89" s="22"/>
      <c r="AO89" s="22"/>
      <c r="AP89" s="22"/>
      <c r="AQ89" s="22"/>
      <c r="AR89" s="22"/>
      <c r="AS89" s="22"/>
    </row>
    <row r="90" spans="1:45" x14ac:dyDescent="0.3">
      <c r="A90" s="22"/>
      <c r="B90" s="71"/>
      <c r="C90" s="22"/>
      <c r="D90" s="23"/>
      <c r="E90" s="22"/>
      <c r="F90" s="22"/>
      <c r="G90" s="22"/>
      <c r="H90" s="23"/>
      <c r="I90" s="22"/>
      <c r="J90" s="22"/>
      <c r="K90" s="22"/>
      <c r="L90" s="23"/>
      <c r="M90" s="71"/>
      <c r="N90" s="71"/>
      <c r="O90" s="22"/>
      <c r="P90" s="22"/>
      <c r="Q90" s="22"/>
      <c r="R90" s="71"/>
      <c r="S90" s="71"/>
      <c r="T90" s="71"/>
      <c r="U90" s="71"/>
      <c r="V90" s="71"/>
      <c r="W90" s="71"/>
      <c r="X90" s="71"/>
      <c r="Y90" s="71"/>
      <c r="Z90" s="71"/>
      <c r="AA90" s="71"/>
      <c r="AB90" s="71"/>
      <c r="AC90" s="22"/>
      <c r="AD90" s="22"/>
      <c r="AE90" s="22"/>
      <c r="AF90" s="22"/>
      <c r="AG90" s="22"/>
      <c r="AH90" s="22"/>
      <c r="AI90" s="22"/>
      <c r="AJ90" s="22"/>
      <c r="AK90" s="22"/>
      <c r="AL90" s="22"/>
      <c r="AM90" s="22"/>
      <c r="AN90" s="22"/>
      <c r="AO90" s="22"/>
      <c r="AP90" s="22"/>
      <c r="AQ90" s="22"/>
      <c r="AR90" s="22"/>
      <c r="AS90" s="22"/>
    </row>
    <row r="91" spans="1:45" x14ac:dyDescent="0.3">
      <c r="A91" s="22"/>
      <c r="B91" s="71"/>
      <c r="C91" s="22"/>
      <c r="D91" s="23"/>
      <c r="E91" s="22"/>
      <c r="F91" s="22"/>
      <c r="G91" s="22"/>
      <c r="H91" s="23"/>
      <c r="I91" s="22"/>
      <c r="J91" s="22"/>
      <c r="K91" s="22"/>
      <c r="L91" s="23"/>
      <c r="M91" s="71"/>
      <c r="N91" s="71"/>
      <c r="O91" s="22"/>
      <c r="P91" s="22"/>
      <c r="Q91" s="22"/>
      <c r="R91" s="71"/>
      <c r="S91" s="71"/>
      <c r="T91" s="71"/>
      <c r="U91" s="71"/>
      <c r="V91" s="71"/>
      <c r="W91" s="71"/>
      <c r="X91" s="71"/>
      <c r="Y91" s="71"/>
      <c r="Z91" s="71"/>
      <c r="AA91" s="71"/>
      <c r="AB91" s="71"/>
      <c r="AC91" s="22"/>
      <c r="AD91" s="22"/>
      <c r="AE91" s="22"/>
      <c r="AF91" s="22"/>
      <c r="AG91" s="22"/>
      <c r="AH91" s="22"/>
      <c r="AI91" s="22"/>
      <c r="AJ91" s="22"/>
      <c r="AK91" s="22"/>
      <c r="AL91" s="22"/>
      <c r="AM91" s="22"/>
      <c r="AN91" s="22"/>
      <c r="AO91" s="22"/>
      <c r="AP91" s="22"/>
      <c r="AQ91" s="22"/>
      <c r="AR91" s="22"/>
      <c r="AS91" s="22"/>
    </row>
    <row r="92" spans="1:45" x14ac:dyDescent="0.3">
      <c r="A92" s="22"/>
      <c r="B92" s="71"/>
      <c r="C92" s="22"/>
      <c r="D92" s="23"/>
      <c r="E92" s="22"/>
      <c r="F92" s="22"/>
      <c r="G92" s="22"/>
      <c r="H92" s="23"/>
      <c r="I92" s="22"/>
      <c r="J92" s="22"/>
      <c r="K92" s="22"/>
      <c r="L92" s="23"/>
      <c r="M92" s="71"/>
      <c r="N92" s="71"/>
      <c r="O92" s="22"/>
      <c r="P92" s="22"/>
      <c r="Q92" s="22"/>
      <c r="R92" s="71"/>
      <c r="S92" s="71"/>
      <c r="T92" s="71"/>
      <c r="U92" s="71"/>
      <c r="V92" s="71"/>
      <c r="W92" s="71"/>
      <c r="X92" s="71"/>
      <c r="Y92" s="71"/>
      <c r="Z92" s="71"/>
      <c r="AA92" s="71"/>
      <c r="AB92" s="71"/>
      <c r="AC92" s="22"/>
      <c r="AD92" s="22"/>
      <c r="AE92" s="22"/>
      <c r="AF92" s="22"/>
      <c r="AG92" s="22"/>
      <c r="AH92" s="22"/>
      <c r="AI92" s="22"/>
      <c r="AJ92" s="22"/>
      <c r="AK92" s="22"/>
      <c r="AL92" s="22"/>
      <c r="AM92" s="22"/>
      <c r="AN92" s="22"/>
      <c r="AO92" s="22"/>
      <c r="AP92" s="22"/>
      <c r="AQ92" s="22"/>
      <c r="AR92" s="22"/>
      <c r="AS92" s="22"/>
    </row>
    <row r="93" spans="1:45" x14ac:dyDescent="0.3">
      <c r="A93" s="22"/>
      <c r="B93" s="71"/>
      <c r="C93" s="22"/>
      <c r="D93" s="23"/>
      <c r="E93" s="22"/>
      <c r="F93" s="22"/>
      <c r="G93" s="22"/>
      <c r="H93" s="23"/>
      <c r="I93" s="22"/>
      <c r="J93" s="22"/>
      <c r="K93" s="22"/>
      <c r="L93" s="23"/>
      <c r="M93" s="71"/>
      <c r="N93" s="71"/>
      <c r="O93" s="22"/>
      <c r="P93" s="22"/>
      <c r="Q93" s="22"/>
      <c r="R93" s="71"/>
      <c r="S93" s="71"/>
      <c r="T93" s="71"/>
      <c r="U93" s="71"/>
      <c r="V93" s="71"/>
      <c r="W93" s="71"/>
      <c r="X93" s="71"/>
      <c r="Y93" s="71"/>
      <c r="Z93" s="71"/>
      <c r="AA93" s="71"/>
      <c r="AB93" s="71"/>
      <c r="AC93" s="22"/>
      <c r="AD93" s="22"/>
      <c r="AE93" s="22"/>
      <c r="AF93" s="22"/>
      <c r="AG93" s="22"/>
      <c r="AH93" s="22"/>
      <c r="AI93" s="22"/>
      <c r="AJ93" s="22"/>
      <c r="AK93" s="22"/>
      <c r="AL93" s="22"/>
      <c r="AM93" s="22"/>
      <c r="AN93" s="22"/>
      <c r="AO93" s="22"/>
      <c r="AP93" s="22"/>
      <c r="AQ93" s="22"/>
      <c r="AR93" s="22"/>
      <c r="AS93" s="22"/>
    </row>
    <row r="94" spans="1:45" x14ac:dyDescent="0.3">
      <c r="A94" s="22"/>
      <c r="B94" s="71"/>
      <c r="C94" s="22"/>
      <c r="D94" s="23"/>
      <c r="E94" s="22"/>
      <c r="F94" s="22"/>
      <c r="G94" s="22"/>
      <c r="H94" s="23"/>
      <c r="I94" s="22"/>
      <c r="J94" s="22"/>
      <c r="K94" s="22"/>
      <c r="L94" s="23"/>
      <c r="M94" s="71"/>
      <c r="N94" s="71"/>
      <c r="O94" s="22"/>
      <c r="P94" s="22"/>
      <c r="Q94" s="22"/>
      <c r="R94" s="71"/>
      <c r="S94" s="71"/>
      <c r="T94" s="71"/>
      <c r="U94" s="71"/>
      <c r="V94" s="71"/>
      <c r="W94" s="71"/>
      <c r="X94" s="71"/>
      <c r="Y94" s="71"/>
      <c r="Z94" s="71"/>
      <c r="AA94" s="71"/>
      <c r="AB94" s="71"/>
      <c r="AC94" s="22"/>
      <c r="AD94" s="22"/>
      <c r="AE94" s="22"/>
      <c r="AF94" s="22"/>
      <c r="AG94" s="22"/>
      <c r="AH94" s="22"/>
      <c r="AI94" s="22"/>
      <c r="AJ94" s="22"/>
      <c r="AK94" s="22"/>
      <c r="AL94" s="22"/>
      <c r="AM94" s="22"/>
      <c r="AN94" s="22"/>
      <c r="AO94" s="22"/>
      <c r="AP94" s="22"/>
      <c r="AQ94" s="22"/>
      <c r="AR94" s="22"/>
      <c r="AS94" s="22"/>
    </row>
    <row r="95" spans="1:45" x14ac:dyDescent="0.3">
      <c r="A95" s="22"/>
      <c r="B95" s="71"/>
      <c r="C95" s="22"/>
      <c r="D95" s="23"/>
      <c r="E95" s="22"/>
      <c r="F95" s="22"/>
      <c r="G95" s="22"/>
      <c r="H95" s="23"/>
      <c r="I95" s="22"/>
      <c r="J95" s="22"/>
      <c r="K95" s="22"/>
      <c r="L95" s="23"/>
      <c r="M95" s="71"/>
      <c r="N95" s="71"/>
      <c r="O95" s="22"/>
      <c r="P95" s="22"/>
      <c r="Q95" s="22"/>
      <c r="R95" s="71"/>
      <c r="S95" s="71"/>
      <c r="T95" s="71"/>
      <c r="U95" s="71"/>
      <c r="V95" s="71"/>
      <c r="W95" s="71"/>
      <c r="X95" s="71"/>
      <c r="Y95" s="71"/>
      <c r="Z95" s="71"/>
      <c r="AA95" s="71"/>
      <c r="AB95" s="71"/>
      <c r="AC95" s="22"/>
      <c r="AD95" s="22"/>
      <c r="AE95" s="22"/>
      <c r="AF95" s="22"/>
      <c r="AG95" s="22"/>
      <c r="AH95" s="22"/>
      <c r="AI95" s="22"/>
      <c r="AJ95" s="22"/>
      <c r="AK95" s="22"/>
      <c r="AL95" s="22"/>
      <c r="AM95" s="22"/>
      <c r="AN95" s="22"/>
      <c r="AO95" s="22"/>
      <c r="AP95" s="22"/>
      <c r="AQ95" s="22"/>
      <c r="AR95" s="22"/>
      <c r="AS95" s="22"/>
    </row>
    <row r="96" spans="1:45" x14ac:dyDescent="0.3">
      <c r="A96" s="22"/>
      <c r="B96" s="71"/>
      <c r="C96" s="22"/>
      <c r="D96" s="23"/>
      <c r="E96" s="22"/>
      <c r="F96" s="22"/>
      <c r="G96" s="22"/>
      <c r="H96" s="23"/>
      <c r="I96" s="22"/>
      <c r="J96" s="22"/>
      <c r="K96" s="22"/>
      <c r="L96" s="23"/>
      <c r="M96" s="71"/>
      <c r="N96" s="71"/>
      <c r="O96" s="22"/>
      <c r="P96" s="22"/>
      <c r="Q96" s="22"/>
      <c r="R96" s="71"/>
      <c r="S96" s="71"/>
      <c r="T96" s="71"/>
      <c r="U96" s="71"/>
      <c r="V96" s="71"/>
      <c r="W96" s="71"/>
      <c r="X96" s="71"/>
      <c r="Y96" s="71"/>
      <c r="Z96" s="71"/>
      <c r="AA96" s="71"/>
      <c r="AB96" s="71"/>
      <c r="AC96" s="22"/>
      <c r="AD96" s="22"/>
      <c r="AE96" s="22"/>
      <c r="AF96" s="22"/>
      <c r="AG96" s="22"/>
      <c r="AH96" s="22"/>
      <c r="AI96" s="22"/>
      <c r="AJ96" s="22"/>
      <c r="AK96" s="22"/>
      <c r="AL96" s="22"/>
      <c r="AM96" s="22"/>
      <c r="AN96" s="22"/>
      <c r="AO96" s="22"/>
      <c r="AP96" s="22"/>
      <c r="AQ96" s="22"/>
      <c r="AR96" s="22"/>
      <c r="AS96" s="22"/>
    </row>
    <row r="97" spans="1:45" x14ac:dyDescent="0.3">
      <c r="A97" s="22"/>
      <c r="B97" s="71"/>
      <c r="C97" s="22"/>
      <c r="D97" s="23"/>
      <c r="E97" s="22"/>
      <c r="F97" s="22"/>
      <c r="G97" s="22"/>
      <c r="H97" s="23"/>
      <c r="I97" s="22"/>
      <c r="J97" s="22"/>
      <c r="K97" s="22"/>
      <c r="L97" s="23"/>
      <c r="M97" s="71"/>
      <c r="N97" s="71"/>
      <c r="O97" s="22"/>
      <c r="P97" s="22"/>
      <c r="Q97" s="22"/>
      <c r="R97" s="71"/>
      <c r="S97" s="71"/>
      <c r="T97" s="71"/>
      <c r="U97" s="71"/>
      <c r="V97" s="71"/>
      <c r="W97" s="71"/>
      <c r="X97" s="71"/>
      <c r="Y97" s="71"/>
      <c r="Z97" s="71"/>
      <c r="AA97" s="71"/>
      <c r="AB97" s="71"/>
      <c r="AC97" s="22"/>
      <c r="AD97" s="22"/>
      <c r="AE97" s="22"/>
      <c r="AF97" s="22"/>
      <c r="AG97" s="22"/>
      <c r="AH97" s="22"/>
      <c r="AI97" s="22"/>
      <c r="AJ97" s="22"/>
      <c r="AK97" s="22"/>
      <c r="AL97" s="22"/>
      <c r="AM97" s="22"/>
      <c r="AN97" s="22"/>
      <c r="AO97" s="22"/>
      <c r="AP97" s="22"/>
      <c r="AQ97" s="22"/>
      <c r="AR97" s="22"/>
      <c r="AS97" s="22"/>
    </row>
    <row r="98" spans="1:45" x14ac:dyDescent="0.3">
      <c r="A98" s="22"/>
      <c r="B98" s="71"/>
      <c r="C98" s="22"/>
      <c r="D98" s="23"/>
      <c r="E98" s="22"/>
      <c r="F98" s="22"/>
      <c r="G98" s="22"/>
      <c r="H98" s="23"/>
      <c r="I98" s="22"/>
      <c r="J98" s="22"/>
      <c r="K98" s="22"/>
      <c r="L98" s="23"/>
      <c r="M98" s="71"/>
      <c r="N98" s="71"/>
      <c r="O98" s="22"/>
      <c r="P98" s="22"/>
      <c r="Q98" s="22"/>
      <c r="R98" s="71"/>
      <c r="S98" s="71"/>
      <c r="T98" s="71"/>
      <c r="U98" s="71"/>
      <c r="V98" s="71"/>
      <c r="W98" s="71"/>
      <c r="X98" s="71"/>
      <c r="Y98" s="71"/>
      <c r="Z98" s="71"/>
      <c r="AA98" s="71"/>
      <c r="AB98" s="71"/>
      <c r="AC98" s="22"/>
      <c r="AD98" s="22"/>
      <c r="AE98" s="22"/>
      <c r="AF98" s="22"/>
      <c r="AG98" s="22"/>
      <c r="AH98" s="22"/>
      <c r="AI98" s="22"/>
      <c r="AJ98" s="22"/>
      <c r="AK98" s="22"/>
      <c r="AL98" s="22"/>
      <c r="AM98" s="22"/>
      <c r="AN98" s="22"/>
      <c r="AO98" s="22"/>
      <c r="AP98" s="22"/>
      <c r="AQ98" s="22"/>
      <c r="AR98" s="22"/>
      <c r="AS98" s="22"/>
    </row>
    <row r="99" spans="1:45" x14ac:dyDescent="0.3">
      <c r="A99" s="22"/>
      <c r="B99" s="71"/>
      <c r="C99" s="22"/>
      <c r="D99" s="23"/>
      <c r="E99" s="22"/>
      <c r="F99" s="22"/>
      <c r="G99" s="22"/>
      <c r="H99" s="23"/>
      <c r="I99" s="22"/>
      <c r="J99" s="22"/>
      <c r="K99" s="22"/>
      <c r="L99" s="23"/>
      <c r="M99" s="71"/>
      <c r="N99" s="71"/>
      <c r="O99" s="22"/>
      <c r="P99" s="22"/>
      <c r="Q99" s="22"/>
      <c r="R99" s="71"/>
      <c r="S99" s="71"/>
      <c r="T99" s="71"/>
      <c r="U99" s="71"/>
      <c r="V99" s="71"/>
      <c r="W99" s="71"/>
      <c r="X99" s="71"/>
      <c r="Y99" s="71"/>
      <c r="Z99" s="71"/>
      <c r="AA99" s="71"/>
      <c r="AB99" s="71"/>
      <c r="AC99" s="22"/>
      <c r="AD99" s="22"/>
      <c r="AE99" s="22"/>
      <c r="AF99" s="22"/>
      <c r="AG99" s="22"/>
      <c r="AH99" s="22"/>
      <c r="AI99" s="22"/>
      <c r="AJ99" s="22"/>
      <c r="AK99" s="22"/>
      <c r="AL99" s="22"/>
      <c r="AM99" s="22"/>
      <c r="AN99" s="22"/>
      <c r="AO99" s="22"/>
      <c r="AP99" s="22"/>
      <c r="AQ99" s="22"/>
      <c r="AR99" s="22"/>
      <c r="AS99" s="22"/>
    </row>
    <row r="100" spans="1:45" x14ac:dyDescent="0.3">
      <c r="A100" s="22"/>
      <c r="B100" s="71"/>
      <c r="C100" s="22"/>
      <c r="D100" s="23"/>
      <c r="E100" s="22"/>
      <c r="F100" s="22"/>
      <c r="G100" s="22"/>
      <c r="H100" s="23"/>
      <c r="I100" s="22"/>
      <c r="J100" s="22"/>
      <c r="K100" s="22"/>
      <c r="L100" s="23"/>
      <c r="M100" s="71"/>
      <c r="N100" s="71"/>
      <c r="O100" s="22"/>
      <c r="P100" s="22"/>
      <c r="Q100" s="22"/>
      <c r="R100" s="71"/>
      <c r="S100" s="71"/>
      <c r="T100" s="71"/>
      <c r="U100" s="71"/>
      <c r="V100" s="71"/>
      <c r="W100" s="71"/>
      <c r="X100" s="71"/>
      <c r="Y100" s="71"/>
      <c r="Z100" s="71"/>
      <c r="AA100" s="71"/>
      <c r="AB100" s="71"/>
      <c r="AC100" s="22"/>
      <c r="AD100" s="22"/>
      <c r="AE100" s="22"/>
      <c r="AF100" s="22"/>
      <c r="AG100" s="22"/>
      <c r="AH100" s="22"/>
      <c r="AI100" s="22"/>
      <c r="AJ100" s="22"/>
      <c r="AK100" s="22"/>
      <c r="AL100" s="22"/>
      <c r="AM100" s="22"/>
      <c r="AN100" s="22"/>
      <c r="AO100" s="22"/>
      <c r="AP100" s="22"/>
      <c r="AQ100" s="22"/>
      <c r="AR100" s="22"/>
      <c r="AS100" s="22"/>
    </row>
    <row r="101" spans="1:45" x14ac:dyDescent="0.3">
      <c r="A101" s="22"/>
      <c r="B101" s="71"/>
      <c r="C101" s="22"/>
      <c r="D101" s="23"/>
      <c r="E101" s="22"/>
      <c r="F101" s="22"/>
      <c r="G101" s="22"/>
      <c r="H101" s="23"/>
      <c r="I101" s="22"/>
      <c r="J101" s="22"/>
      <c r="K101" s="22"/>
      <c r="L101" s="23"/>
      <c r="M101" s="71"/>
      <c r="N101" s="71"/>
      <c r="O101" s="22"/>
      <c r="P101" s="22"/>
      <c r="Q101" s="22"/>
      <c r="R101" s="71"/>
      <c r="S101" s="71"/>
      <c r="T101" s="71"/>
      <c r="U101" s="71"/>
      <c r="V101" s="71"/>
      <c r="W101" s="71"/>
      <c r="X101" s="71"/>
      <c r="Y101" s="71"/>
      <c r="Z101" s="71"/>
      <c r="AA101" s="71"/>
      <c r="AB101" s="71"/>
      <c r="AC101" s="22"/>
      <c r="AD101" s="22"/>
      <c r="AE101" s="22"/>
      <c r="AF101" s="22"/>
      <c r="AG101" s="22"/>
      <c r="AH101" s="22"/>
      <c r="AI101" s="22"/>
      <c r="AJ101" s="22"/>
      <c r="AK101" s="22"/>
      <c r="AL101" s="22"/>
      <c r="AM101" s="22"/>
      <c r="AN101" s="22"/>
      <c r="AO101" s="22"/>
      <c r="AP101" s="22"/>
      <c r="AQ101" s="22"/>
      <c r="AR101" s="22"/>
      <c r="AS101" s="22"/>
    </row>
    <row r="102" spans="1:45" x14ac:dyDescent="0.3">
      <c r="A102" s="22"/>
      <c r="B102" s="71"/>
      <c r="C102" s="22"/>
      <c r="D102" s="23"/>
      <c r="E102" s="22"/>
      <c r="F102" s="22"/>
      <c r="G102" s="22"/>
      <c r="H102" s="23"/>
      <c r="I102" s="22"/>
      <c r="J102" s="22"/>
      <c r="K102" s="22"/>
      <c r="L102" s="23"/>
      <c r="M102" s="71"/>
      <c r="N102" s="71"/>
      <c r="O102" s="22"/>
      <c r="P102" s="22"/>
      <c r="Q102" s="22"/>
      <c r="R102" s="71"/>
      <c r="S102" s="71"/>
      <c r="T102" s="71"/>
      <c r="U102" s="71"/>
      <c r="V102" s="71"/>
      <c r="W102" s="71"/>
      <c r="X102" s="71"/>
      <c r="Y102" s="71"/>
      <c r="Z102" s="71"/>
      <c r="AA102" s="71"/>
      <c r="AB102" s="71"/>
      <c r="AC102" s="22"/>
      <c r="AD102" s="22"/>
      <c r="AE102" s="22"/>
      <c r="AF102" s="22"/>
      <c r="AG102" s="22"/>
      <c r="AH102" s="22"/>
      <c r="AI102" s="22"/>
      <c r="AJ102" s="22"/>
      <c r="AK102" s="22"/>
      <c r="AL102" s="22"/>
      <c r="AM102" s="22"/>
      <c r="AN102" s="22"/>
      <c r="AO102" s="22"/>
      <c r="AP102" s="22"/>
      <c r="AQ102" s="22"/>
      <c r="AR102" s="22"/>
      <c r="AS102" s="22"/>
    </row>
    <row r="103" spans="1:45" x14ac:dyDescent="0.3">
      <c r="A103" s="22"/>
      <c r="B103" s="71"/>
      <c r="C103" s="22"/>
      <c r="D103" s="23"/>
      <c r="E103" s="22"/>
      <c r="F103" s="22"/>
      <c r="G103" s="22"/>
      <c r="H103" s="23"/>
      <c r="I103" s="22"/>
      <c r="J103" s="22"/>
      <c r="K103" s="22"/>
      <c r="L103" s="23"/>
      <c r="M103" s="71"/>
      <c r="N103" s="71"/>
      <c r="O103" s="22"/>
      <c r="P103" s="22"/>
      <c r="Q103" s="22"/>
      <c r="R103" s="71"/>
      <c r="S103" s="71"/>
      <c r="T103" s="71"/>
      <c r="U103" s="71"/>
      <c r="V103" s="71"/>
      <c r="W103" s="71"/>
      <c r="X103" s="71"/>
      <c r="Y103" s="71"/>
      <c r="Z103" s="71"/>
      <c r="AA103" s="71"/>
      <c r="AB103" s="71"/>
      <c r="AC103" s="22"/>
      <c r="AD103" s="22"/>
      <c r="AE103" s="22"/>
      <c r="AF103" s="22"/>
      <c r="AG103" s="22"/>
      <c r="AH103" s="22"/>
      <c r="AI103" s="22"/>
      <c r="AJ103" s="22"/>
      <c r="AK103" s="22"/>
      <c r="AL103" s="22"/>
      <c r="AM103" s="22"/>
      <c r="AN103" s="22"/>
      <c r="AO103" s="22"/>
      <c r="AP103" s="22"/>
      <c r="AQ103" s="22"/>
      <c r="AR103" s="22"/>
      <c r="AS103" s="22"/>
    </row>
    <row r="104" spans="1:45" x14ac:dyDescent="0.3">
      <c r="A104" s="22"/>
      <c r="B104" s="71"/>
      <c r="C104" s="22"/>
      <c r="D104" s="23"/>
      <c r="E104" s="22"/>
      <c r="F104" s="22"/>
      <c r="G104" s="22"/>
      <c r="H104" s="23"/>
      <c r="I104" s="22"/>
      <c r="J104" s="22"/>
      <c r="K104" s="22"/>
      <c r="L104" s="23"/>
      <c r="M104" s="71"/>
      <c r="N104" s="71"/>
      <c r="O104" s="22"/>
      <c r="P104" s="22"/>
      <c r="Q104" s="22"/>
      <c r="R104" s="71"/>
      <c r="S104" s="71"/>
      <c r="T104" s="71"/>
      <c r="U104" s="71"/>
      <c r="V104" s="71"/>
      <c r="W104" s="71"/>
      <c r="X104" s="71"/>
      <c r="Y104" s="71"/>
      <c r="Z104" s="71"/>
      <c r="AA104" s="71"/>
      <c r="AB104" s="71"/>
      <c r="AC104" s="22"/>
      <c r="AD104" s="22"/>
      <c r="AE104" s="22"/>
      <c r="AF104" s="22"/>
      <c r="AG104" s="22"/>
      <c r="AH104" s="22"/>
      <c r="AI104" s="22"/>
      <c r="AJ104" s="22"/>
      <c r="AK104" s="22"/>
      <c r="AL104" s="22"/>
      <c r="AM104" s="22"/>
      <c r="AN104" s="22"/>
      <c r="AO104" s="22"/>
      <c r="AP104" s="22"/>
      <c r="AQ104" s="22"/>
      <c r="AR104" s="22"/>
      <c r="AS104" s="22"/>
    </row>
    <row r="105" spans="1:45" x14ac:dyDescent="0.3">
      <c r="A105" s="22"/>
      <c r="B105" s="71"/>
      <c r="C105" s="22"/>
      <c r="D105" s="23"/>
      <c r="E105" s="22"/>
      <c r="F105" s="22"/>
      <c r="G105" s="22"/>
      <c r="H105" s="23"/>
      <c r="I105" s="22"/>
      <c r="J105" s="22"/>
      <c r="K105" s="22"/>
      <c r="L105" s="23"/>
      <c r="M105" s="71"/>
      <c r="N105" s="71"/>
      <c r="O105" s="22"/>
      <c r="P105" s="22"/>
      <c r="Q105" s="22"/>
      <c r="R105" s="71"/>
      <c r="S105" s="71"/>
      <c r="T105" s="71"/>
      <c r="U105" s="71"/>
      <c r="V105" s="71"/>
      <c r="W105" s="71"/>
      <c r="X105" s="71"/>
      <c r="Y105" s="71"/>
      <c r="Z105" s="71"/>
      <c r="AA105" s="71"/>
      <c r="AB105" s="71"/>
      <c r="AC105" s="22"/>
      <c r="AD105" s="22"/>
      <c r="AE105" s="22"/>
      <c r="AF105" s="22"/>
      <c r="AG105" s="22"/>
      <c r="AH105" s="22"/>
      <c r="AI105" s="22"/>
      <c r="AJ105" s="22"/>
      <c r="AK105" s="22"/>
      <c r="AL105" s="22"/>
      <c r="AM105" s="22"/>
      <c r="AN105" s="22"/>
      <c r="AO105" s="22"/>
      <c r="AP105" s="22"/>
      <c r="AQ105" s="22"/>
      <c r="AR105" s="22"/>
      <c r="AS105" s="22"/>
    </row>
    <row r="106" spans="1:45" x14ac:dyDescent="0.3">
      <c r="A106" s="22"/>
      <c r="B106" s="71"/>
      <c r="C106" s="22"/>
      <c r="D106" s="23"/>
      <c r="E106" s="22"/>
      <c r="F106" s="22"/>
      <c r="G106" s="22"/>
      <c r="H106" s="23"/>
      <c r="I106" s="22"/>
      <c r="J106" s="22"/>
      <c r="K106" s="22"/>
      <c r="L106" s="23"/>
      <c r="M106" s="71"/>
      <c r="N106" s="71"/>
      <c r="O106" s="22"/>
      <c r="P106" s="22"/>
      <c r="Q106" s="22"/>
      <c r="R106" s="71"/>
      <c r="S106" s="71"/>
      <c r="T106" s="71"/>
      <c r="U106" s="71"/>
      <c r="V106" s="71"/>
      <c r="W106" s="71"/>
      <c r="X106" s="71"/>
      <c r="Y106" s="71"/>
      <c r="Z106" s="71"/>
      <c r="AA106" s="71"/>
      <c r="AB106" s="71"/>
      <c r="AC106" s="22"/>
      <c r="AD106" s="22"/>
      <c r="AE106" s="22"/>
      <c r="AF106" s="22"/>
      <c r="AG106" s="22"/>
      <c r="AH106" s="22"/>
      <c r="AI106" s="22"/>
      <c r="AJ106" s="22"/>
      <c r="AK106" s="22"/>
      <c r="AL106" s="22"/>
      <c r="AM106" s="22"/>
      <c r="AN106" s="22"/>
      <c r="AO106" s="22"/>
      <c r="AP106" s="22"/>
      <c r="AQ106" s="22"/>
      <c r="AR106" s="22"/>
      <c r="AS106" s="22"/>
    </row>
    <row r="107" spans="1:45" x14ac:dyDescent="0.3">
      <c r="A107" s="22"/>
      <c r="B107" s="71"/>
      <c r="C107" s="22"/>
      <c r="D107" s="23"/>
      <c r="E107" s="22"/>
      <c r="F107" s="22"/>
      <c r="G107" s="22"/>
      <c r="H107" s="23"/>
      <c r="I107" s="22"/>
      <c r="J107" s="22"/>
      <c r="K107" s="22"/>
      <c r="L107" s="23"/>
      <c r="M107" s="71"/>
      <c r="N107" s="71"/>
      <c r="O107" s="22"/>
      <c r="P107" s="22"/>
      <c r="Q107" s="22"/>
      <c r="R107" s="71"/>
      <c r="S107" s="71"/>
      <c r="T107" s="71"/>
      <c r="U107" s="71"/>
      <c r="V107" s="71"/>
      <c r="W107" s="71"/>
      <c r="X107" s="71"/>
      <c r="Y107" s="71"/>
      <c r="Z107" s="71"/>
      <c r="AA107" s="71"/>
      <c r="AB107" s="71"/>
      <c r="AC107" s="22"/>
      <c r="AD107" s="22"/>
      <c r="AE107" s="22"/>
      <c r="AF107" s="22"/>
      <c r="AG107" s="22"/>
      <c r="AH107" s="22"/>
      <c r="AI107" s="22"/>
      <c r="AJ107" s="22"/>
      <c r="AK107" s="22"/>
      <c r="AL107" s="22"/>
      <c r="AM107" s="22"/>
      <c r="AN107" s="22"/>
      <c r="AO107" s="22"/>
      <c r="AP107" s="22"/>
      <c r="AQ107" s="22"/>
      <c r="AR107" s="22"/>
      <c r="AS107" s="22"/>
    </row>
    <row r="108" spans="1:45" x14ac:dyDescent="0.3">
      <c r="A108" s="22"/>
      <c r="B108" s="71"/>
      <c r="C108" s="22"/>
      <c r="D108" s="23"/>
      <c r="E108" s="22"/>
      <c r="F108" s="22"/>
      <c r="G108" s="22"/>
      <c r="H108" s="23"/>
      <c r="I108" s="22"/>
      <c r="J108" s="22"/>
      <c r="K108" s="22"/>
      <c r="L108" s="23"/>
      <c r="M108" s="71"/>
      <c r="N108" s="71"/>
      <c r="O108" s="22"/>
      <c r="P108" s="22"/>
      <c r="Q108" s="22"/>
      <c r="R108" s="71"/>
      <c r="S108" s="71"/>
      <c r="T108" s="71"/>
      <c r="U108" s="71"/>
      <c r="V108" s="71"/>
      <c r="W108" s="71"/>
      <c r="X108" s="71"/>
      <c r="Y108" s="71"/>
      <c r="Z108" s="71"/>
      <c r="AA108" s="71"/>
      <c r="AB108" s="71"/>
      <c r="AC108" s="22"/>
      <c r="AD108" s="22"/>
      <c r="AE108" s="22"/>
      <c r="AF108" s="22"/>
      <c r="AG108" s="22"/>
      <c r="AH108" s="22"/>
      <c r="AI108" s="22"/>
      <c r="AJ108" s="22"/>
      <c r="AK108" s="22"/>
      <c r="AL108" s="22"/>
      <c r="AM108" s="22"/>
      <c r="AN108" s="22"/>
      <c r="AO108" s="22"/>
      <c r="AP108" s="22"/>
      <c r="AQ108" s="22"/>
      <c r="AR108" s="22"/>
      <c r="AS108" s="22"/>
    </row>
    <row r="109" spans="1:45" x14ac:dyDescent="0.3">
      <c r="A109" s="22"/>
      <c r="B109" s="71"/>
      <c r="C109" s="22"/>
      <c r="D109" s="23"/>
      <c r="E109" s="22"/>
      <c r="F109" s="22"/>
      <c r="G109" s="22"/>
      <c r="H109" s="23"/>
      <c r="I109" s="22"/>
      <c r="J109" s="22"/>
      <c r="K109" s="22"/>
      <c r="L109" s="23"/>
      <c r="M109" s="71"/>
      <c r="N109" s="71"/>
      <c r="O109" s="22"/>
      <c r="P109" s="22"/>
      <c r="Q109" s="22"/>
      <c r="R109" s="71"/>
      <c r="S109" s="71"/>
      <c r="T109" s="71"/>
      <c r="U109" s="71"/>
      <c r="V109" s="71"/>
      <c r="W109" s="71"/>
      <c r="X109" s="71"/>
      <c r="Y109" s="71"/>
      <c r="Z109" s="71"/>
      <c r="AA109" s="71"/>
      <c r="AB109" s="71"/>
      <c r="AC109" s="22"/>
      <c r="AD109" s="22"/>
      <c r="AE109" s="22"/>
      <c r="AF109" s="22"/>
      <c r="AG109" s="22"/>
      <c r="AH109" s="22"/>
      <c r="AI109" s="22"/>
      <c r="AJ109" s="22"/>
      <c r="AK109" s="22"/>
      <c r="AL109" s="22"/>
      <c r="AM109" s="22"/>
      <c r="AN109" s="22"/>
      <c r="AO109" s="22"/>
      <c r="AP109" s="22"/>
      <c r="AQ109" s="22"/>
      <c r="AR109" s="22"/>
      <c r="AS109" s="22"/>
    </row>
    <row r="110" spans="1:45" x14ac:dyDescent="0.3">
      <c r="A110" s="22"/>
      <c r="B110" s="71"/>
      <c r="C110" s="22"/>
      <c r="D110" s="23"/>
      <c r="E110" s="22"/>
      <c r="F110" s="22"/>
      <c r="G110" s="22"/>
      <c r="H110" s="23"/>
      <c r="I110" s="22"/>
      <c r="J110" s="22"/>
      <c r="K110" s="22"/>
      <c r="L110" s="23"/>
      <c r="M110" s="71"/>
      <c r="N110" s="71"/>
      <c r="O110" s="22"/>
      <c r="P110" s="22"/>
      <c r="Q110" s="22"/>
      <c r="R110" s="71"/>
      <c r="S110" s="71"/>
      <c r="T110" s="71"/>
      <c r="U110" s="71"/>
      <c r="V110" s="71"/>
      <c r="W110" s="71"/>
      <c r="X110" s="71"/>
      <c r="Y110" s="71"/>
      <c r="Z110" s="71"/>
      <c r="AA110" s="71"/>
      <c r="AB110" s="71"/>
      <c r="AC110" s="22"/>
      <c r="AD110" s="22"/>
      <c r="AE110" s="22"/>
      <c r="AF110" s="22"/>
      <c r="AG110" s="22"/>
      <c r="AH110" s="22"/>
      <c r="AI110" s="22"/>
      <c r="AJ110" s="22"/>
      <c r="AK110" s="22"/>
      <c r="AL110" s="22"/>
      <c r="AM110" s="22"/>
      <c r="AN110" s="22"/>
      <c r="AO110" s="22"/>
      <c r="AP110" s="22"/>
      <c r="AQ110" s="22"/>
      <c r="AR110" s="22"/>
      <c r="AS110" s="22"/>
    </row>
    <row r="111" spans="1:45" x14ac:dyDescent="0.3">
      <c r="A111" s="22"/>
      <c r="B111" s="71"/>
      <c r="C111" s="22"/>
      <c r="D111" s="23"/>
      <c r="E111" s="22"/>
      <c r="F111" s="22"/>
      <c r="G111" s="22"/>
      <c r="H111" s="23"/>
      <c r="I111" s="22"/>
      <c r="J111" s="22"/>
      <c r="K111" s="22"/>
      <c r="L111" s="23"/>
      <c r="M111" s="71"/>
      <c r="N111" s="71"/>
      <c r="O111" s="22"/>
      <c r="P111" s="22"/>
      <c r="Q111" s="22"/>
      <c r="R111" s="71"/>
      <c r="S111" s="71"/>
      <c r="T111" s="71"/>
      <c r="U111" s="71"/>
      <c r="V111" s="71"/>
      <c r="W111" s="71"/>
      <c r="X111" s="71"/>
      <c r="Y111" s="71"/>
      <c r="Z111" s="71"/>
      <c r="AA111" s="71"/>
      <c r="AB111" s="71"/>
      <c r="AC111" s="22"/>
      <c r="AD111" s="22"/>
      <c r="AE111" s="22"/>
      <c r="AF111" s="22"/>
      <c r="AG111" s="22"/>
      <c r="AH111" s="22"/>
      <c r="AI111" s="22"/>
      <c r="AJ111" s="22"/>
      <c r="AK111" s="22"/>
      <c r="AL111" s="22"/>
      <c r="AM111" s="22"/>
      <c r="AN111" s="22"/>
      <c r="AO111" s="22"/>
      <c r="AP111" s="22"/>
      <c r="AQ111" s="22"/>
      <c r="AR111" s="22"/>
      <c r="AS111" s="22"/>
    </row>
    <row r="112" spans="1:45" x14ac:dyDescent="0.3">
      <c r="A112" s="22"/>
      <c r="B112" s="71"/>
      <c r="C112" s="22"/>
      <c r="D112" s="23"/>
      <c r="E112" s="22"/>
      <c r="F112" s="22"/>
      <c r="G112" s="22"/>
      <c r="H112" s="23"/>
      <c r="I112" s="22"/>
      <c r="J112" s="22"/>
      <c r="K112" s="22"/>
      <c r="L112" s="23"/>
      <c r="M112" s="71"/>
      <c r="N112" s="71"/>
      <c r="O112" s="22"/>
      <c r="P112" s="22"/>
      <c r="Q112" s="22"/>
      <c r="R112" s="71"/>
      <c r="S112" s="71"/>
      <c r="T112" s="71"/>
      <c r="U112" s="71"/>
      <c r="V112" s="71"/>
      <c r="W112" s="71"/>
      <c r="X112" s="71"/>
      <c r="Y112" s="71"/>
      <c r="Z112" s="71"/>
      <c r="AA112" s="71"/>
      <c r="AB112" s="71"/>
      <c r="AC112" s="22"/>
      <c r="AD112" s="22"/>
      <c r="AE112" s="22"/>
      <c r="AF112" s="22"/>
      <c r="AG112" s="22"/>
      <c r="AH112" s="22"/>
      <c r="AI112" s="22"/>
      <c r="AJ112" s="22"/>
      <c r="AK112" s="22"/>
      <c r="AL112" s="22"/>
      <c r="AM112" s="22"/>
      <c r="AN112" s="22"/>
      <c r="AO112" s="22"/>
      <c r="AP112" s="22"/>
      <c r="AQ112" s="22"/>
      <c r="AR112" s="22"/>
      <c r="AS112" s="22"/>
    </row>
    <row r="113" spans="1:45" x14ac:dyDescent="0.3">
      <c r="A113" s="22"/>
      <c r="B113" s="71"/>
      <c r="C113" s="22"/>
      <c r="D113" s="23"/>
      <c r="E113" s="22"/>
      <c r="F113" s="22"/>
      <c r="G113" s="22"/>
      <c r="H113" s="23"/>
      <c r="I113" s="22"/>
      <c r="J113" s="22"/>
      <c r="K113" s="22"/>
      <c r="L113" s="23"/>
      <c r="M113" s="71"/>
      <c r="N113" s="71"/>
      <c r="O113" s="22"/>
      <c r="P113" s="22"/>
      <c r="Q113" s="22"/>
      <c r="R113" s="71"/>
      <c r="S113" s="71"/>
      <c r="T113" s="71"/>
      <c r="U113" s="71"/>
      <c r="V113" s="71"/>
      <c r="W113" s="71"/>
      <c r="X113" s="71"/>
      <c r="Y113" s="71"/>
      <c r="Z113" s="71"/>
      <c r="AA113" s="71"/>
      <c r="AB113" s="71"/>
      <c r="AC113" s="22"/>
      <c r="AD113" s="22"/>
      <c r="AE113" s="22"/>
      <c r="AF113" s="22"/>
      <c r="AG113" s="22"/>
      <c r="AH113" s="22"/>
      <c r="AI113" s="22"/>
      <c r="AJ113" s="22"/>
      <c r="AK113" s="22"/>
      <c r="AL113" s="22"/>
      <c r="AM113" s="22"/>
      <c r="AN113" s="22"/>
      <c r="AO113" s="22"/>
      <c r="AP113" s="22"/>
      <c r="AQ113" s="22"/>
      <c r="AR113" s="22"/>
      <c r="AS113" s="22"/>
    </row>
    <row r="114" spans="1:45" x14ac:dyDescent="0.3">
      <c r="A114" s="22"/>
      <c r="B114" s="71"/>
      <c r="C114" s="22"/>
      <c r="D114" s="23"/>
      <c r="E114" s="22"/>
      <c r="F114" s="22"/>
      <c r="G114" s="22"/>
      <c r="H114" s="23"/>
      <c r="I114" s="22"/>
      <c r="J114" s="22"/>
      <c r="K114" s="22"/>
      <c r="L114" s="23"/>
      <c r="M114" s="71"/>
      <c r="N114" s="71"/>
      <c r="O114" s="22"/>
      <c r="P114" s="22"/>
      <c r="Q114" s="22"/>
      <c r="R114" s="71"/>
      <c r="S114" s="71"/>
      <c r="T114" s="71"/>
      <c r="U114" s="71"/>
      <c r="V114" s="71"/>
      <c r="W114" s="71"/>
      <c r="X114" s="71"/>
      <c r="Y114" s="71"/>
      <c r="Z114" s="71"/>
      <c r="AA114" s="71"/>
      <c r="AB114" s="71"/>
      <c r="AC114" s="22"/>
      <c r="AD114" s="22"/>
      <c r="AE114" s="22"/>
      <c r="AF114" s="22"/>
      <c r="AG114" s="22"/>
      <c r="AH114" s="22"/>
      <c r="AI114" s="22"/>
      <c r="AJ114" s="22"/>
      <c r="AK114" s="22"/>
      <c r="AL114" s="22"/>
      <c r="AM114" s="22"/>
      <c r="AN114" s="22"/>
      <c r="AO114" s="22"/>
      <c r="AP114" s="22"/>
      <c r="AQ114" s="22"/>
      <c r="AR114" s="22"/>
      <c r="AS114" s="22"/>
    </row>
    <row r="115" spans="1:45" x14ac:dyDescent="0.3">
      <c r="A115" s="22"/>
      <c r="B115" s="71"/>
      <c r="C115" s="22"/>
      <c r="D115" s="23"/>
      <c r="E115" s="22"/>
      <c r="F115" s="22"/>
      <c r="G115" s="22"/>
      <c r="H115" s="23"/>
      <c r="I115" s="22"/>
      <c r="J115" s="22"/>
      <c r="K115" s="22"/>
      <c r="L115" s="23"/>
      <c r="M115" s="71"/>
      <c r="N115" s="71"/>
      <c r="O115" s="22"/>
      <c r="P115" s="22"/>
      <c r="Q115" s="22"/>
      <c r="R115" s="71"/>
      <c r="S115" s="71"/>
      <c r="T115" s="71"/>
      <c r="U115" s="71"/>
      <c r="V115" s="71"/>
      <c r="W115" s="71"/>
      <c r="X115" s="71"/>
      <c r="Y115" s="71"/>
      <c r="Z115" s="71"/>
      <c r="AA115" s="71"/>
      <c r="AB115" s="71"/>
      <c r="AC115" s="22"/>
      <c r="AD115" s="22"/>
      <c r="AE115" s="22"/>
      <c r="AF115" s="22"/>
      <c r="AG115" s="22"/>
      <c r="AH115" s="22"/>
      <c r="AI115" s="22"/>
      <c r="AJ115" s="22"/>
      <c r="AK115" s="22"/>
      <c r="AL115" s="22"/>
      <c r="AM115" s="22"/>
      <c r="AN115" s="22"/>
      <c r="AO115" s="22"/>
      <c r="AP115" s="22"/>
      <c r="AQ115" s="22"/>
      <c r="AR115" s="22"/>
      <c r="AS115" s="22"/>
    </row>
    <row r="116" spans="1:45" x14ac:dyDescent="0.3">
      <c r="A116" s="22"/>
      <c r="B116" s="71"/>
      <c r="C116" s="22"/>
      <c r="D116" s="23"/>
      <c r="E116" s="22"/>
      <c r="F116" s="22"/>
      <c r="G116" s="22"/>
      <c r="H116" s="23"/>
      <c r="I116" s="22"/>
      <c r="J116" s="22"/>
      <c r="K116" s="22"/>
      <c r="L116" s="23"/>
      <c r="M116" s="71"/>
      <c r="N116" s="71"/>
      <c r="O116" s="22"/>
      <c r="P116" s="22"/>
      <c r="Q116" s="22"/>
      <c r="R116" s="71"/>
      <c r="S116" s="71"/>
      <c r="T116" s="71"/>
      <c r="U116" s="71"/>
      <c r="V116" s="71"/>
      <c r="W116" s="71"/>
      <c r="X116" s="71"/>
      <c r="Y116" s="71"/>
      <c r="Z116" s="71"/>
      <c r="AA116" s="71"/>
      <c r="AB116" s="71"/>
      <c r="AC116" s="22"/>
      <c r="AD116" s="22"/>
      <c r="AE116" s="22"/>
      <c r="AF116" s="22"/>
      <c r="AG116" s="22"/>
      <c r="AH116" s="22"/>
      <c r="AI116" s="22"/>
      <c r="AJ116" s="22"/>
      <c r="AK116" s="22"/>
      <c r="AL116" s="22"/>
      <c r="AM116" s="22"/>
      <c r="AN116" s="22"/>
      <c r="AO116" s="22"/>
      <c r="AP116" s="22"/>
      <c r="AQ116" s="22"/>
      <c r="AR116" s="22"/>
      <c r="AS116" s="22"/>
    </row>
    <row r="117" spans="1:45" x14ac:dyDescent="0.3">
      <c r="A117" s="22"/>
      <c r="B117" s="71"/>
      <c r="C117" s="22"/>
      <c r="D117" s="23"/>
      <c r="E117" s="22"/>
      <c r="F117" s="22"/>
      <c r="G117" s="22"/>
      <c r="H117" s="23"/>
      <c r="I117" s="22"/>
      <c r="J117" s="22"/>
      <c r="K117" s="22"/>
      <c r="L117" s="23"/>
      <c r="M117" s="71"/>
      <c r="N117" s="71"/>
      <c r="O117" s="22"/>
      <c r="P117" s="22"/>
      <c r="Q117" s="22"/>
      <c r="R117" s="71"/>
      <c r="S117" s="71"/>
      <c r="T117" s="71"/>
      <c r="U117" s="71"/>
      <c r="V117" s="71"/>
      <c r="W117" s="71"/>
      <c r="X117" s="71"/>
      <c r="Y117" s="71"/>
      <c r="Z117" s="71"/>
      <c r="AA117" s="71"/>
      <c r="AB117" s="71"/>
      <c r="AC117" s="22"/>
      <c r="AD117" s="22"/>
      <c r="AE117" s="22"/>
      <c r="AF117" s="22"/>
      <c r="AG117" s="22"/>
      <c r="AH117" s="22"/>
      <c r="AI117" s="22"/>
      <c r="AJ117" s="22"/>
      <c r="AK117" s="22"/>
      <c r="AL117" s="22"/>
      <c r="AM117" s="22"/>
      <c r="AN117" s="22"/>
      <c r="AO117" s="22"/>
      <c r="AP117" s="22"/>
      <c r="AQ117" s="22"/>
      <c r="AR117" s="22"/>
      <c r="AS117" s="22"/>
    </row>
    <row r="118" spans="1:45" x14ac:dyDescent="0.3">
      <c r="A118" s="22"/>
      <c r="B118" s="71"/>
      <c r="C118" s="22"/>
      <c r="D118" s="23"/>
      <c r="E118" s="22"/>
      <c r="F118" s="22"/>
      <c r="G118" s="22"/>
      <c r="H118" s="23"/>
      <c r="I118" s="22"/>
      <c r="J118" s="22"/>
      <c r="K118" s="22"/>
      <c r="L118" s="23"/>
      <c r="M118" s="71"/>
      <c r="N118" s="71"/>
      <c r="O118" s="22"/>
      <c r="P118" s="22"/>
      <c r="Q118" s="22"/>
      <c r="R118" s="71"/>
      <c r="S118" s="71"/>
      <c r="T118" s="71"/>
      <c r="U118" s="71"/>
      <c r="V118" s="71"/>
      <c r="W118" s="71"/>
      <c r="X118" s="71"/>
      <c r="Y118" s="71"/>
      <c r="Z118" s="71"/>
      <c r="AA118" s="71"/>
      <c r="AB118" s="71"/>
      <c r="AC118" s="22"/>
      <c r="AD118" s="22"/>
      <c r="AE118" s="22"/>
      <c r="AF118" s="22"/>
      <c r="AG118" s="22"/>
      <c r="AH118" s="22"/>
      <c r="AI118" s="22"/>
      <c r="AJ118" s="22"/>
      <c r="AK118" s="22"/>
      <c r="AL118" s="22"/>
      <c r="AM118" s="22"/>
      <c r="AN118" s="22"/>
      <c r="AO118" s="22"/>
      <c r="AP118" s="22"/>
      <c r="AQ118" s="22"/>
      <c r="AR118" s="22"/>
      <c r="AS118" s="22"/>
    </row>
    <row r="119" spans="1:45" x14ac:dyDescent="0.3">
      <c r="A119" s="22"/>
      <c r="B119" s="71"/>
      <c r="C119" s="22"/>
      <c r="D119" s="23"/>
      <c r="E119" s="22"/>
      <c r="F119" s="22"/>
      <c r="G119" s="22"/>
      <c r="H119" s="23"/>
      <c r="I119" s="22"/>
      <c r="J119" s="22"/>
      <c r="K119" s="22"/>
      <c r="L119" s="23"/>
      <c r="M119" s="71"/>
      <c r="N119" s="71"/>
      <c r="O119" s="22"/>
      <c r="P119" s="22"/>
      <c r="Q119" s="22"/>
      <c r="R119" s="71"/>
      <c r="S119" s="71"/>
      <c r="T119" s="71"/>
      <c r="U119" s="71"/>
      <c r="V119" s="71"/>
      <c r="W119" s="71"/>
      <c r="X119" s="71"/>
      <c r="Y119" s="71"/>
      <c r="Z119" s="71"/>
      <c r="AA119" s="71"/>
      <c r="AB119" s="71"/>
      <c r="AC119" s="22"/>
      <c r="AD119" s="22"/>
      <c r="AE119" s="22"/>
      <c r="AF119" s="22"/>
      <c r="AG119" s="22"/>
      <c r="AH119" s="22"/>
      <c r="AI119" s="22"/>
      <c r="AJ119" s="22"/>
      <c r="AK119" s="22"/>
      <c r="AL119" s="22"/>
      <c r="AM119" s="22"/>
      <c r="AN119" s="22"/>
      <c r="AO119" s="22"/>
      <c r="AP119" s="22"/>
      <c r="AQ119" s="22"/>
      <c r="AR119" s="22"/>
      <c r="AS119" s="22"/>
    </row>
    <row r="120" spans="1:45" x14ac:dyDescent="0.3">
      <c r="A120" s="22"/>
      <c r="B120" s="71"/>
      <c r="C120" s="22"/>
      <c r="D120" s="23"/>
      <c r="E120" s="22"/>
      <c r="F120" s="22"/>
      <c r="G120" s="22"/>
      <c r="H120" s="23"/>
      <c r="I120" s="22"/>
      <c r="J120" s="22"/>
      <c r="K120" s="22"/>
      <c r="L120" s="23"/>
      <c r="M120" s="71"/>
      <c r="N120" s="71"/>
      <c r="O120" s="22"/>
      <c r="P120" s="22"/>
      <c r="Q120" s="22"/>
      <c r="R120" s="71"/>
      <c r="S120" s="71"/>
      <c r="T120" s="71"/>
      <c r="U120" s="71"/>
      <c r="V120" s="71"/>
      <c r="W120" s="71"/>
      <c r="X120" s="71"/>
      <c r="Y120" s="71"/>
      <c r="Z120" s="71"/>
      <c r="AA120" s="71"/>
      <c r="AB120" s="71"/>
      <c r="AC120" s="22"/>
      <c r="AD120" s="22"/>
      <c r="AE120" s="22"/>
      <c r="AF120" s="22"/>
      <c r="AG120" s="22"/>
      <c r="AH120" s="22"/>
      <c r="AI120" s="22"/>
      <c r="AJ120" s="22"/>
      <c r="AK120" s="22"/>
      <c r="AL120" s="22"/>
      <c r="AM120" s="22"/>
      <c r="AN120" s="22"/>
      <c r="AO120" s="22"/>
      <c r="AP120" s="22"/>
      <c r="AQ120" s="22"/>
      <c r="AR120" s="22"/>
      <c r="AS120" s="22"/>
    </row>
    <row r="121" spans="1:45" x14ac:dyDescent="0.3">
      <c r="A121" s="22"/>
      <c r="B121" s="71"/>
      <c r="C121" s="22"/>
      <c r="D121" s="23"/>
      <c r="E121" s="22"/>
      <c r="F121" s="22"/>
      <c r="G121" s="22"/>
      <c r="H121" s="23"/>
      <c r="I121" s="22"/>
      <c r="J121" s="22"/>
      <c r="K121" s="22"/>
      <c r="L121" s="23"/>
      <c r="M121" s="71"/>
      <c r="N121" s="71"/>
      <c r="O121" s="22"/>
      <c r="P121" s="22"/>
      <c r="Q121" s="22"/>
      <c r="R121" s="71"/>
      <c r="S121" s="71"/>
      <c r="T121" s="71"/>
      <c r="U121" s="71"/>
      <c r="V121" s="71"/>
      <c r="W121" s="71"/>
      <c r="X121" s="71"/>
      <c r="Y121" s="71"/>
      <c r="Z121" s="71"/>
      <c r="AA121" s="71"/>
      <c r="AB121" s="71"/>
      <c r="AC121" s="22"/>
      <c r="AD121" s="22"/>
      <c r="AE121" s="22"/>
      <c r="AF121" s="22"/>
      <c r="AG121" s="22"/>
      <c r="AH121" s="22"/>
      <c r="AI121" s="22"/>
      <c r="AJ121" s="22"/>
      <c r="AK121" s="22"/>
      <c r="AL121" s="22"/>
      <c r="AM121" s="22"/>
      <c r="AN121" s="22"/>
      <c r="AO121" s="22"/>
      <c r="AP121" s="22"/>
      <c r="AQ121" s="22"/>
      <c r="AR121" s="22"/>
      <c r="AS121" s="22"/>
    </row>
    <row r="122" spans="1:45" x14ac:dyDescent="0.3">
      <c r="A122" s="22"/>
      <c r="B122" s="71"/>
      <c r="C122" s="22"/>
      <c r="D122" s="23"/>
      <c r="E122" s="22"/>
      <c r="F122" s="22"/>
      <c r="G122" s="22"/>
      <c r="H122" s="23"/>
      <c r="I122" s="22"/>
      <c r="J122" s="22"/>
      <c r="K122" s="22"/>
      <c r="L122" s="23"/>
      <c r="M122" s="71"/>
      <c r="N122" s="71"/>
      <c r="O122" s="22"/>
      <c r="P122" s="22"/>
      <c r="Q122" s="22"/>
      <c r="R122" s="71"/>
      <c r="S122" s="71"/>
      <c r="T122" s="71"/>
      <c r="U122" s="71"/>
      <c r="V122" s="71"/>
      <c r="W122" s="71"/>
      <c r="X122" s="71"/>
      <c r="Y122" s="71"/>
      <c r="Z122" s="71"/>
      <c r="AA122" s="71"/>
      <c r="AB122" s="71"/>
      <c r="AC122" s="22"/>
      <c r="AD122" s="22"/>
      <c r="AE122" s="22"/>
      <c r="AF122" s="22"/>
      <c r="AG122" s="22"/>
      <c r="AH122" s="22"/>
      <c r="AI122" s="22"/>
      <c r="AJ122" s="22"/>
      <c r="AK122" s="22"/>
      <c r="AL122" s="22"/>
      <c r="AM122" s="22"/>
      <c r="AN122" s="22"/>
      <c r="AO122" s="22"/>
      <c r="AP122" s="22"/>
      <c r="AQ122" s="22"/>
      <c r="AR122" s="22"/>
      <c r="AS122" s="22"/>
    </row>
    <row r="123" spans="1:45" x14ac:dyDescent="0.3">
      <c r="A123" s="22"/>
      <c r="B123" s="71"/>
      <c r="C123" s="22"/>
      <c r="D123" s="23"/>
      <c r="E123" s="22"/>
      <c r="F123" s="22"/>
      <c r="G123" s="22"/>
      <c r="H123" s="23"/>
      <c r="I123" s="22"/>
      <c r="J123" s="22"/>
      <c r="K123" s="22"/>
      <c r="L123" s="23"/>
      <c r="M123" s="71"/>
      <c r="N123" s="71"/>
      <c r="O123" s="22"/>
      <c r="P123" s="22"/>
      <c r="Q123" s="22"/>
      <c r="R123" s="71"/>
      <c r="S123" s="71"/>
      <c r="T123" s="71"/>
      <c r="U123" s="71"/>
      <c r="V123" s="71"/>
      <c r="W123" s="71"/>
      <c r="X123" s="71"/>
      <c r="Y123" s="71"/>
      <c r="Z123" s="71"/>
      <c r="AA123" s="71"/>
      <c r="AB123" s="71"/>
      <c r="AC123" s="22"/>
      <c r="AD123" s="22"/>
      <c r="AE123" s="22"/>
      <c r="AF123" s="22"/>
      <c r="AG123" s="22"/>
      <c r="AH123" s="22"/>
      <c r="AI123" s="22"/>
      <c r="AJ123" s="22"/>
      <c r="AK123" s="22"/>
      <c r="AL123" s="22"/>
      <c r="AM123" s="22"/>
      <c r="AN123" s="22"/>
      <c r="AO123" s="22"/>
      <c r="AP123" s="22"/>
      <c r="AQ123" s="22"/>
      <c r="AR123" s="22"/>
      <c r="AS123" s="22"/>
    </row>
    <row r="124" spans="1:45" x14ac:dyDescent="0.3">
      <c r="A124" s="22"/>
      <c r="B124" s="71"/>
      <c r="C124" s="22"/>
      <c r="D124" s="23"/>
      <c r="E124" s="22"/>
      <c r="F124" s="22"/>
      <c r="G124" s="22"/>
      <c r="H124" s="23"/>
      <c r="I124" s="22"/>
      <c r="J124" s="22"/>
      <c r="K124" s="22"/>
      <c r="L124" s="23"/>
      <c r="M124" s="71"/>
      <c r="N124" s="71"/>
      <c r="O124" s="22"/>
      <c r="P124" s="22"/>
      <c r="Q124" s="22"/>
      <c r="R124" s="71"/>
      <c r="S124" s="71"/>
      <c r="T124" s="71"/>
      <c r="U124" s="71"/>
      <c r="V124" s="71"/>
      <c r="W124" s="71"/>
      <c r="X124" s="71"/>
      <c r="Y124" s="71"/>
      <c r="Z124" s="71"/>
      <c r="AA124" s="71"/>
      <c r="AB124" s="71"/>
      <c r="AC124" s="22"/>
      <c r="AD124" s="22"/>
      <c r="AE124" s="22"/>
      <c r="AF124" s="22"/>
      <c r="AG124" s="22"/>
      <c r="AH124" s="22"/>
      <c r="AI124" s="22"/>
      <c r="AJ124" s="22"/>
      <c r="AK124" s="22"/>
      <c r="AL124" s="22"/>
      <c r="AM124" s="22"/>
      <c r="AN124" s="22"/>
      <c r="AO124" s="22"/>
      <c r="AP124" s="22"/>
      <c r="AQ124" s="22"/>
      <c r="AR124" s="22"/>
      <c r="AS124" s="22"/>
    </row>
    <row r="125" spans="1:45" x14ac:dyDescent="0.3">
      <c r="A125" s="22"/>
      <c r="B125" s="71"/>
      <c r="C125" s="22"/>
      <c r="D125" s="23"/>
      <c r="E125" s="22"/>
      <c r="F125" s="22"/>
      <c r="G125" s="22"/>
      <c r="H125" s="23"/>
      <c r="I125" s="22"/>
      <c r="J125" s="22"/>
      <c r="K125" s="22"/>
      <c r="L125" s="23"/>
      <c r="M125" s="71"/>
      <c r="N125" s="71"/>
      <c r="O125" s="22"/>
      <c r="P125" s="22"/>
      <c r="Q125" s="22"/>
      <c r="R125" s="71"/>
      <c r="S125" s="71"/>
      <c r="T125" s="71"/>
      <c r="U125" s="71"/>
      <c r="V125" s="71"/>
      <c r="W125" s="71"/>
      <c r="X125" s="71"/>
      <c r="Y125" s="71"/>
      <c r="Z125" s="71"/>
      <c r="AA125" s="71"/>
      <c r="AB125" s="71"/>
      <c r="AC125" s="22"/>
      <c r="AD125" s="22"/>
      <c r="AE125" s="22"/>
      <c r="AF125" s="22"/>
      <c r="AG125" s="22"/>
      <c r="AH125" s="22"/>
      <c r="AI125" s="22"/>
      <c r="AJ125" s="22"/>
      <c r="AK125" s="22"/>
      <c r="AL125" s="22"/>
      <c r="AM125" s="22"/>
      <c r="AN125" s="22"/>
      <c r="AO125" s="22"/>
      <c r="AP125" s="22"/>
      <c r="AQ125" s="22"/>
      <c r="AR125" s="22"/>
      <c r="AS125" s="22"/>
    </row>
    <row r="126" spans="1:45" x14ac:dyDescent="0.3">
      <c r="A126" s="22"/>
      <c r="B126" s="71"/>
      <c r="C126" s="22"/>
      <c r="D126" s="23"/>
      <c r="E126" s="22"/>
      <c r="F126" s="22"/>
      <c r="G126" s="22"/>
      <c r="H126" s="23"/>
      <c r="I126" s="22"/>
      <c r="J126" s="22"/>
      <c r="K126" s="22"/>
      <c r="L126" s="23"/>
      <c r="M126" s="71"/>
      <c r="N126" s="71"/>
      <c r="O126" s="22"/>
      <c r="P126" s="22"/>
      <c r="Q126" s="22"/>
      <c r="R126" s="71"/>
      <c r="S126" s="71"/>
      <c r="T126" s="71"/>
      <c r="U126" s="71"/>
      <c r="V126" s="71"/>
      <c r="W126" s="71"/>
      <c r="X126" s="71"/>
      <c r="Y126" s="71"/>
      <c r="Z126" s="71"/>
      <c r="AA126" s="71"/>
      <c r="AB126" s="71"/>
      <c r="AC126" s="22"/>
      <c r="AD126" s="22"/>
      <c r="AE126" s="22"/>
      <c r="AF126" s="22"/>
      <c r="AG126" s="22"/>
      <c r="AH126" s="22"/>
      <c r="AI126" s="22"/>
      <c r="AJ126" s="22"/>
      <c r="AK126" s="22"/>
      <c r="AL126" s="22"/>
      <c r="AM126" s="22"/>
      <c r="AN126" s="22"/>
      <c r="AO126" s="22"/>
      <c r="AP126" s="22"/>
      <c r="AQ126" s="22"/>
      <c r="AR126" s="22"/>
      <c r="AS126" s="22"/>
    </row>
    <row r="127" spans="1:45" x14ac:dyDescent="0.3">
      <c r="A127" s="22"/>
      <c r="B127" s="71"/>
      <c r="C127" s="22"/>
      <c r="D127" s="23"/>
      <c r="E127" s="22"/>
      <c r="F127" s="22"/>
      <c r="G127" s="22"/>
      <c r="H127" s="23"/>
      <c r="I127" s="22"/>
      <c r="J127" s="22"/>
      <c r="K127" s="22"/>
      <c r="L127" s="23"/>
      <c r="M127" s="71"/>
      <c r="N127" s="71"/>
      <c r="O127" s="22"/>
      <c r="P127" s="22"/>
      <c r="Q127" s="22"/>
      <c r="R127" s="71"/>
      <c r="S127" s="71"/>
      <c r="T127" s="71"/>
      <c r="U127" s="71"/>
      <c r="V127" s="71"/>
      <c r="W127" s="71"/>
      <c r="X127" s="71"/>
      <c r="Y127" s="71"/>
      <c r="Z127" s="71"/>
      <c r="AA127" s="71"/>
      <c r="AB127" s="71"/>
      <c r="AC127" s="22"/>
      <c r="AD127" s="22"/>
      <c r="AE127" s="22"/>
      <c r="AF127" s="22"/>
      <c r="AG127" s="22"/>
      <c r="AH127" s="22"/>
      <c r="AI127" s="22"/>
      <c r="AJ127" s="22"/>
      <c r="AK127" s="22"/>
      <c r="AL127" s="22"/>
      <c r="AM127" s="22"/>
      <c r="AN127" s="22"/>
      <c r="AO127" s="22"/>
      <c r="AP127" s="22"/>
      <c r="AQ127" s="22"/>
      <c r="AR127" s="22"/>
      <c r="AS127" s="22"/>
    </row>
    <row r="128" spans="1:45" x14ac:dyDescent="0.3">
      <c r="A128" s="22"/>
      <c r="B128" s="71"/>
      <c r="C128" s="22"/>
      <c r="D128" s="23"/>
      <c r="E128" s="22"/>
      <c r="F128" s="22"/>
      <c r="G128" s="22"/>
      <c r="H128" s="23"/>
      <c r="I128" s="22"/>
      <c r="J128" s="22"/>
      <c r="K128" s="22"/>
      <c r="L128" s="23"/>
      <c r="M128" s="71"/>
      <c r="N128" s="71"/>
      <c r="O128" s="22"/>
      <c r="P128" s="22"/>
      <c r="Q128" s="22"/>
      <c r="R128" s="71"/>
      <c r="S128" s="71"/>
      <c r="T128" s="71"/>
      <c r="U128" s="71"/>
      <c r="V128" s="71"/>
      <c r="W128" s="71"/>
      <c r="X128" s="71"/>
      <c r="Y128" s="71"/>
      <c r="Z128" s="71"/>
      <c r="AA128" s="71"/>
      <c r="AB128" s="71"/>
      <c r="AC128" s="22"/>
      <c r="AD128" s="22"/>
      <c r="AE128" s="22"/>
      <c r="AF128" s="22"/>
      <c r="AG128" s="22"/>
      <c r="AH128" s="22"/>
      <c r="AI128" s="22"/>
      <c r="AJ128" s="22"/>
      <c r="AK128" s="22"/>
      <c r="AL128" s="22"/>
      <c r="AM128" s="22"/>
      <c r="AN128" s="22"/>
      <c r="AO128" s="22"/>
      <c r="AP128" s="22"/>
      <c r="AQ128" s="22"/>
      <c r="AR128" s="22"/>
      <c r="AS128" s="22"/>
    </row>
    <row r="129" spans="1:45" x14ac:dyDescent="0.3">
      <c r="A129" s="22"/>
      <c r="B129" s="71"/>
      <c r="C129" s="22"/>
      <c r="D129" s="23"/>
      <c r="E129" s="22"/>
      <c r="F129" s="22"/>
      <c r="G129" s="22"/>
      <c r="H129" s="23"/>
      <c r="I129" s="22"/>
      <c r="J129" s="22"/>
      <c r="K129" s="22"/>
      <c r="L129" s="23"/>
      <c r="M129" s="71"/>
      <c r="N129" s="71"/>
      <c r="O129" s="22"/>
      <c r="P129" s="22"/>
      <c r="Q129" s="22"/>
      <c r="R129" s="71"/>
      <c r="S129" s="71"/>
      <c r="T129" s="71"/>
      <c r="U129" s="71"/>
      <c r="V129" s="71"/>
      <c r="W129" s="71"/>
      <c r="X129" s="71"/>
      <c r="Y129" s="71"/>
      <c r="Z129" s="71"/>
      <c r="AA129" s="71"/>
      <c r="AB129" s="71"/>
      <c r="AC129" s="22"/>
      <c r="AD129" s="22"/>
      <c r="AE129" s="22"/>
      <c r="AF129" s="22"/>
      <c r="AG129" s="22"/>
      <c r="AH129" s="22"/>
      <c r="AI129" s="22"/>
      <c r="AJ129" s="22"/>
      <c r="AK129" s="22"/>
      <c r="AL129" s="22"/>
      <c r="AM129" s="22"/>
      <c r="AN129" s="22"/>
      <c r="AO129" s="22"/>
      <c r="AP129" s="22"/>
      <c r="AQ129" s="22"/>
      <c r="AR129" s="22"/>
      <c r="AS129" s="22"/>
    </row>
    <row r="130" spans="1:45" x14ac:dyDescent="0.3">
      <c r="A130" s="22"/>
      <c r="B130" s="71"/>
      <c r="C130" s="22"/>
      <c r="D130" s="23"/>
      <c r="E130" s="22"/>
      <c r="F130" s="22"/>
      <c r="G130" s="22"/>
      <c r="H130" s="23"/>
      <c r="I130" s="22"/>
      <c r="J130" s="22"/>
      <c r="K130" s="22"/>
      <c r="L130" s="23"/>
      <c r="M130" s="71"/>
      <c r="N130" s="71"/>
      <c r="O130" s="22"/>
      <c r="P130" s="22"/>
      <c r="Q130" s="22"/>
      <c r="R130" s="71"/>
      <c r="S130" s="71"/>
      <c r="T130" s="71"/>
      <c r="U130" s="71"/>
      <c r="V130" s="71"/>
      <c r="W130" s="71"/>
      <c r="X130" s="71"/>
      <c r="Y130" s="71"/>
      <c r="Z130" s="71"/>
      <c r="AA130" s="71"/>
      <c r="AB130" s="71"/>
      <c r="AC130" s="22"/>
      <c r="AD130" s="22"/>
      <c r="AE130" s="22"/>
      <c r="AF130" s="22"/>
      <c r="AG130" s="22"/>
      <c r="AH130" s="22"/>
      <c r="AI130" s="22"/>
      <c r="AJ130" s="22"/>
      <c r="AK130" s="22"/>
      <c r="AL130" s="22"/>
      <c r="AM130" s="22"/>
      <c r="AN130" s="22"/>
      <c r="AO130" s="22"/>
      <c r="AP130" s="22"/>
      <c r="AQ130" s="22"/>
      <c r="AR130" s="22"/>
      <c r="AS130" s="22"/>
    </row>
    <row r="131" spans="1:45" x14ac:dyDescent="0.3">
      <c r="A131" s="22"/>
      <c r="B131" s="71"/>
      <c r="C131" s="22"/>
      <c r="D131" s="23"/>
      <c r="E131" s="22"/>
      <c r="F131" s="22"/>
      <c r="G131" s="22"/>
      <c r="H131" s="23"/>
      <c r="I131" s="22"/>
      <c r="J131" s="22"/>
      <c r="K131" s="22"/>
      <c r="L131" s="23"/>
      <c r="M131" s="71"/>
      <c r="N131" s="71"/>
      <c r="O131" s="22"/>
      <c r="P131" s="22"/>
      <c r="Q131" s="22"/>
      <c r="R131" s="71"/>
      <c r="S131" s="71"/>
      <c r="T131" s="71"/>
      <c r="U131" s="71"/>
      <c r="V131" s="71"/>
      <c r="W131" s="71"/>
      <c r="X131" s="71"/>
      <c r="Y131" s="71"/>
      <c r="Z131" s="71"/>
      <c r="AA131" s="71"/>
      <c r="AB131" s="71"/>
      <c r="AC131" s="22"/>
      <c r="AD131" s="22"/>
      <c r="AE131" s="22"/>
      <c r="AF131" s="22"/>
      <c r="AG131" s="22"/>
      <c r="AH131" s="22"/>
      <c r="AI131" s="22"/>
      <c r="AJ131" s="22"/>
      <c r="AK131" s="22"/>
      <c r="AL131" s="22"/>
      <c r="AM131" s="22"/>
      <c r="AN131" s="22"/>
      <c r="AO131" s="22"/>
      <c r="AP131" s="22"/>
      <c r="AQ131" s="22"/>
      <c r="AR131" s="22"/>
      <c r="AS131" s="22"/>
    </row>
    <row r="132" spans="1:45" x14ac:dyDescent="0.3">
      <c r="A132" s="22"/>
      <c r="B132" s="71"/>
      <c r="C132" s="22"/>
      <c r="D132" s="23"/>
      <c r="E132" s="22"/>
      <c r="F132" s="22"/>
      <c r="G132" s="22"/>
      <c r="H132" s="23"/>
      <c r="I132" s="22"/>
      <c r="J132" s="22"/>
      <c r="K132" s="22"/>
      <c r="L132" s="23"/>
      <c r="M132" s="71"/>
      <c r="N132" s="71"/>
      <c r="O132" s="22"/>
      <c r="P132" s="22"/>
      <c r="Q132" s="22"/>
      <c r="R132" s="71"/>
      <c r="S132" s="71"/>
      <c r="T132" s="71"/>
      <c r="U132" s="71"/>
      <c r="V132" s="71"/>
      <c r="W132" s="71"/>
      <c r="X132" s="71"/>
      <c r="Y132" s="71"/>
      <c r="Z132" s="71"/>
      <c r="AA132" s="71"/>
      <c r="AB132" s="71"/>
      <c r="AC132" s="22"/>
      <c r="AD132" s="22"/>
      <c r="AE132" s="22"/>
      <c r="AF132" s="22"/>
      <c r="AG132" s="22"/>
      <c r="AH132" s="22"/>
      <c r="AI132" s="22"/>
      <c r="AJ132" s="22"/>
      <c r="AK132" s="22"/>
      <c r="AL132" s="22"/>
      <c r="AM132" s="22"/>
      <c r="AN132" s="22"/>
      <c r="AO132" s="22"/>
      <c r="AP132" s="22"/>
      <c r="AQ132" s="22"/>
      <c r="AR132" s="22"/>
      <c r="AS132" s="22"/>
    </row>
    <row r="133" spans="1:45" x14ac:dyDescent="0.3">
      <c r="A133" s="22"/>
      <c r="B133" s="71"/>
      <c r="C133" s="22"/>
      <c r="D133" s="23"/>
      <c r="E133" s="22"/>
      <c r="F133" s="22"/>
      <c r="G133" s="22"/>
      <c r="H133" s="23"/>
      <c r="I133" s="22"/>
      <c r="J133" s="22"/>
      <c r="K133" s="22"/>
      <c r="L133" s="23"/>
      <c r="M133" s="71"/>
      <c r="N133" s="71"/>
      <c r="O133" s="22"/>
      <c r="P133" s="22"/>
      <c r="Q133" s="22"/>
      <c r="R133" s="71"/>
      <c r="S133" s="71"/>
      <c r="T133" s="71"/>
      <c r="U133" s="71"/>
      <c r="V133" s="71"/>
      <c r="W133" s="71"/>
      <c r="X133" s="71"/>
      <c r="Y133" s="71"/>
      <c r="Z133" s="71"/>
      <c r="AA133" s="71"/>
      <c r="AB133" s="71"/>
      <c r="AC133" s="22"/>
      <c r="AD133" s="22"/>
      <c r="AE133" s="22"/>
      <c r="AF133" s="22"/>
      <c r="AG133" s="22"/>
      <c r="AH133" s="22"/>
      <c r="AI133" s="22"/>
      <c r="AJ133" s="22"/>
      <c r="AK133" s="22"/>
      <c r="AL133" s="22"/>
      <c r="AM133" s="22"/>
      <c r="AN133" s="22"/>
      <c r="AO133" s="22"/>
      <c r="AP133" s="22"/>
      <c r="AQ133" s="22"/>
      <c r="AR133" s="22"/>
      <c r="AS133" s="22"/>
    </row>
    <row r="134" spans="1:45" x14ac:dyDescent="0.3">
      <c r="A134" s="22"/>
      <c r="B134" s="71"/>
      <c r="C134" s="22"/>
      <c r="D134" s="23"/>
      <c r="E134" s="22"/>
      <c r="F134" s="22"/>
      <c r="G134" s="22"/>
      <c r="H134" s="23"/>
      <c r="I134" s="22"/>
      <c r="J134" s="22"/>
      <c r="K134" s="22"/>
      <c r="L134" s="23"/>
      <c r="M134" s="71"/>
      <c r="N134" s="71"/>
      <c r="O134" s="22"/>
      <c r="P134" s="22"/>
      <c r="Q134" s="22"/>
      <c r="R134" s="71"/>
      <c r="S134" s="71"/>
      <c r="T134" s="71"/>
      <c r="U134" s="71"/>
      <c r="V134" s="71"/>
      <c r="W134" s="71"/>
      <c r="X134" s="71"/>
      <c r="Y134" s="71"/>
      <c r="Z134" s="71"/>
      <c r="AA134" s="71"/>
      <c r="AB134" s="71"/>
      <c r="AC134" s="22"/>
      <c r="AD134" s="22"/>
      <c r="AE134" s="22"/>
      <c r="AF134" s="22"/>
      <c r="AG134" s="22"/>
      <c r="AH134" s="22"/>
      <c r="AI134" s="22"/>
      <c r="AJ134" s="22"/>
      <c r="AK134" s="22"/>
      <c r="AL134" s="22"/>
      <c r="AM134" s="22"/>
      <c r="AN134" s="22"/>
      <c r="AO134" s="22"/>
      <c r="AP134" s="22"/>
      <c r="AQ134" s="22"/>
      <c r="AR134" s="22"/>
      <c r="AS134" s="22"/>
    </row>
    <row r="135" spans="1:45" x14ac:dyDescent="0.3">
      <c r="A135" s="22"/>
      <c r="B135" s="71"/>
      <c r="C135" s="22"/>
      <c r="D135" s="23"/>
      <c r="E135" s="22"/>
      <c r="F135" s="22"/>
      <c r="G135" s="22"/>
      <c r="H135" s="23"/>
      <c r="I135" s="22"/>
      <c r="J135" s="22"/>
      <c r="K135" s="22"/>
      <c r="L135" s="23"/>
      <c r="M135" s="71"/>
      <c r="N135" s="71"/>
      <c r="O135" s="22"/>
      <c r="P135" s="22"/>
      <c r="Q135" s="22"/>
      <c r="R135" s="71"/>
      <c r="S135" s="71"/>
      <c r="T135" s="71"/>
      <c r="U135" s="71"/>
      <c r="V135" s="71"/>
      <c r="W135" s="71"/>
      <c r="X135" s="71"/>
      <c r="Y135" s="71"/>
      <c r="Z135" s="71"/>
      <c r="AA135" s="71"/>
      <c r="AB135" s="71"/>
      <c r="AC135" s="22"/>
      <c r="AD135" s="22"/>
      <c r="AE135" s="22"/>
      <c r="AF135" s="22"/>
      <c r="AG135" s="22"/>
      <c r="AH135" s="22"/>
      <c r="AI135" s="22"/>
      <c r="AJ135" s="22"/>
      <c r="AK135" s="22"/>
      <c r="AL135" s="22"/>
      <c r="AM135" s="22"/>
      <c r="AN135" s="22"/>
      <c r="AO135" s="22"/>
      <c r="AP135" s="22"/>
      <c r="AQ135" s="22"/>
      <c r="AR135" s="22"/>
      <c r="AS135" s="22"/>
    </row>
    <row r="136" spans="1:45" x14ac:dyDescent="0.3">
      <c r="A136" s="22"/>
      <c r="B136" s="71"/>
      <c r="C136" s="22"/>
      <c r="D136" s="23"/>
      <c r="E136" s="22"/>
      <c r="F136" s="22"/>
      <c r="G136" s="22"/>
      <c r="H136" s="23"/>
      <c r="I136" s="22"/>
      <c r="J136" s="22"/>
      <c r="K136" s="22"/>
      <c r="L136" s="23"/>
      <c r="M136" s="71"/>
      <c r="N136" s="71"/>
      <c r="O136" s="22"/>
      <c r="P136" s="22"/>
      <c r="Q136" s="22"/>
      <c r="R136" s="71"/>
      <c r="S136" s="71"/>
      <c r="T136" s="71"/>
      <c r="U136" s="71"/>
      <c r="V136" s="71"/>
      <c r="W136" s="71"/>
      <c r="X136" s="71"/>
      <c r="Y136" s="71"/>
      <c r="Z136" s="71"/>
      <c r="AA136" s="71"/>
      <c r="AB136" s="71"/>
      <c r="AC136" s="22"/>
      <c r="AD136" s="22"/>
      <c r="AE136" s="22"/>
      <c r="AF136" s="22"/>
      <c r="AG136" s="22"/>
      <c r="AH136" s="22"/>
      <c r="AI136" s="22"/>
      <c r="AJ136" s="22"/>
      <c r="AK136" s="22"/>
      <c r="AL136" s="22"/>
      <c r="AM136" s="22"/>
      <c r="AN136" s="22"/>
      <c r="AO136" s="22"/>
      <c r="AP136" s="22"/>
      <c r="AQ136" s="22"/>
      <c r="AR136" s="22"/>
      <c r="AS136" s="22"/>
    </row>
    <row r="137" spans="1:45" x14ac:dyDescent="0.3">
      <c r="A137" s="22"/>
      <c r="B137" s="71"/>
      <c r="C137" s="22"/>
      <c r="D137" s="23"/>
      <c r="E137" s="22"/>
      <c r="F137" s="22"/>
      <c r="G137" s="22"/>
      <c r="H137" s="23"/>
      <c r="I137" s="22"/>
      <c r="J137" s="22"/>
      <c r="K137" s="22"/>
      <c r="L137" s="23"/>
      <c r="M137" s="71"/>
      <c r="N137" s="71"/>
      <c r="O137" s="22"/>
      <c r="P137" s="22"/>
      <c r="Q137" s="22"/>
      <c r="R137" s="71"/>
      <c r="S137" s="71"/>
      <c r="T137" s="71"/>
      <c r="U137" s="71"/>
      <c r="V137" s="71"/>
      <c r="W137" s="71"/>
      <c r="X137" s="71"/>
      <c r="Y137" s="71"/>
      <c r="Z137" s="71"/>
      <c r="AA137" s="71"/>
      <c r="AB137" s="71"/>
      <c r="AC137" s="22"/>
      <c r="AD137" s="22"/>
      <c r="AE137" s="22"/>
      <c r="AF137" s="22"/>
      <c r="AG137" s="22"/>
      <c r="AH137" s="22"/>
      <c r="AI137" s="22"/>
      <c r="AJ137" s="22"/>
      <c r="AK137" s="22"/>
      <c r="AL137" s="22"/>
      <c r="AM137" s="22"/>
      <c r="AN137" s="22"/>
      <c r="AO137" s="22"/>
      <c r="AP137" s="22"/>
      <c r="AQ137" s="22"/>
      <c r="AR137" s="22"/>
      <c r="AS137" s="22"/>
    </row>
    <row r="138" spans="1:45" x14ac:dyDescent="0.3">
      <c r="A138" s="22"/>
      <c r="B138" s="71"/>
      <c r="C138" s="22"/>
      <c r="D138" s="23"/>
      <c r="E138" s="22"/>
      <c r="F138" s="22"/>
      <c r="G138" s="22"/>
      <c r="H138" s="23"/>
      <c r="I138" s="22"/>
      <c r="J138" s="22"/>
      <c r="K138" s="22"/>
      <c r="L138" s="23"/>
      <c r="M138" s="71"/>
      <c r="N138" s="71"/>
      <c r="O138" s="22"/>
      <c r="P138" s="22"/>
      <c r="Q138" s="22"/>
      <c r="R138" s="71"/>
      <c r="S138" s="71"/>
      <c r="T138" s="71"/>
      <c r="U138" s="71"/>
      <c r="V138" s="71"/>
      <c r="W138" s="71"/>
      <c r="X138" s="71"/>
      <c r="Y138" s="71"/>
      <c r="Z138" s="71"/>
      <c r="AA138" s="71"/>
      <c r="AB138" s="71"/>
      <c r="AC138" s="22"/>
      <c r="AD138" s="22"/>
      <c r="AE138" s="22"/>
      <c r="AF138" s="22"/>
      <c r="AG138" s="22"/>
      <c r="AH138" s="22"/>
      <c r="AI138" s="22"/>
      <c r="AJ138" s="22"/>
      <c r="AK138" s="22"/>
      <c r="AL138" s="22"/>
      <c r="AM138" s="22"/>
      <c r="AN138" s="22"/>
      <c r="AO138" s="22"/>
      <c r="AP138" s="22"/>
      <c r="AQ138" s="22"/>
      <c r="AR138" s="22"/>
      <c r="AS138" s="22"/>
    </row>
    <row r="139" spans="1:45" x14ac:dyDescent="0.3">
      <c r="A139" s="22"/>
      <c r="B139" s="71"/>
      <c r="C139" s="22"/>
      <c r="D139" s="23"/>
      <c r="E139" s="22"/>
      <c r="F139" s="22"/>
      <c r="G139" s="22"/>
      <c r="H139" s="23"/>
      <c r="I139" s="22"/>
      <c r="J139" s="22"/>
      <c r="K139" s="22"/>
      <c r="L139" s="23"/>
      <c r="M139" s="71"/>
      <c r="N139" s="71"/>
      <c r="O139" s="22"/>
      <c r="P139" s="22"/>
      <c r="Q139" s="22"/>
      <c r="R139" s="71"/>
      <c r="S139" s="71"/>
      <c r="T139" s="71"/>
      <c r="U139" s="71"/>
      <c r="V139" s="71"/>
      <c r="W139" s="71"/>
      <c r="X139" s="71"/>
      <c r="Y139" s="71"/>
      <c r="Z139" s="71"/>
      <c r="AA139" s="71"/>
      <c r="AB139" s="71"/>
      <c r="AC139" s="22"/>
      <c r="AD139" s="22"/>
      <c r="AE139" s="22"/>
      <c r="AF139" s="22"/>
      <c r="AG139" s="22"/>
      <c r="AH139" s="22"/>
      <c r="AI139" s="22"/>
      <c r="AJ139" s="22"/>
      <c r="AK139" s="22"/>
      <c r="AL139" s="22"/>
      <c r="AM139" s="22"/>
      <c r="AN139" s="22"/>
      <c r="AO139" s="22"/>
      <c r="AP139" s="22"/>
      <c r="AQ139" s="22"/>
      <c r="AR139" s="22"/>
      <c r="AS139" s="22"/>
    </row>
    <row r="140" spans="1:45" x14ac:dyDescent="0.3">
      <c r="A140" s="22"/>
      <c r="B140" s="71"/>
      <c r="C140" s="22"/>
      <c r="D140" s="23"/>
      <c r="E140" s="22"/>
      <c r="F140" s="22"/>
      <c r="G140" s="22"/>
      <c r="H140" s="23"/>
      <c r="I140" s="22"/>
      <c r="J140" s="22"/>
      <c r="K140" s="22"/>
      <c r="L140" s="23"/>
      <c r="M140" s="71"/>
      <c r="N140" s="71"/>
      <c r="O140" s="22"/>
      <c r="P140" s="22"/>
      <c r="Q140" s="22"/>
      <c r="R140" s="71"/>
      <c r="S140" s="71"/>
      <c r="T140" s="71"/>
      <c r="U140" s="71"/>
      <c r="V140" s="71"/>
      <c r="W140" s="71"/>
      <c r="X140" s="71"/>
      <c r="Y140" s="71"/>
      <c r="Z140" s="71"/>
      <c r="AA140" s="71"/>
      <c r="AB140" s="71"/>
      <c r="AC140" s="22"/>
      <c r="AD140" s="22"/>
      <c r="AE140" s="22"/>
      <c r="AF140" s="22"/>
      <c r="AG140" s="22"/>
      <c r="AH140" s="22"/>
      <c r="AI140" s="22"/>
      <c r="AJ140" s="22"/>
      <c r="AK140" s="22"/>
      <c r="AL140" s="22"/>
      <c r="AM140" s="22"/>
      <c r="AN140" s="22"/>
      <c r="AO140" s="22"/>
      <c r="AP140" s="22"/>
      <c r="AQ140" s="22"/>
      <c r="AR140" s="22"/>
      <c r="AS140" s="22"/>
    </row>
    <row r="141" spans="1:45" x14ac:dyDescent="0.3">
      <c r="A141" s="22"/>
      <c r="B141" s="71"/>
      <c r="C141" s="22"/>
      <c r="D141" s="23"/>
      <c r="E141" s="22"/>
      <c r="F141" s="22"/>
      <c r="G141" s="22"/>
      <c r="H141" s="23"/>
      <c r="I141" s="22"/>
      <c r="J141" s="22"/>
      <c r="K141" s="22"/>
      <c r="L141" s="23"/>
      <c r="M141" s="71"/>
      <c r="N141" s="71"/>
      <c r="O141" s="22"/>
      <c r="P141" s="22"/>
      <c r="Q141" s="22"/>
      <c r="R141" s="71"/>
      <c r="S141" s="71"/>
      <c r="T141" s="71"/>
      <c r="U141" s="71"/>
      <c r="V141" s="71"/>
      <c r="W141" s="71"/>
      <c r="X141" s="71"/>
      <c r="Y141" s="71"/>
      <c r="Z141" s="71"/>
      <c r="AA141" s="71"/>
      <c r="AB141" s="71"/>
      <c r="AC141" s="22"/>
      <c r="AD141" s="22"/>
      <c r="AE141" s="22"/>
      <c r="AF141" s="22"/>
      <c r="AG141" s="22"/>
      <c r="AH141" s="22"/>
      <c r="AI141" s="22"/>
      <c r="AJ141" s="22"/>
      <c r="AK141" s="22"/>
      <c r="AL141" s="22"/>
      <c r="AM141" s="22"/>
      <c r="AN141" s="22"/>
      <c r="AO141" s="22"/>
      <c r="AP141" s="22"/>
      <c r="AQ141" s="22"/>
      <c r="AR141" s="22"/>
      <c r="AS141" s="22"/>
    </row>
    <row r="142" spans="1:45" x14ac:dyDescent="0.3">
      <c r="A142" s="22"/>
      <c r="B142" s="71"/>
      <c r="C142" s="22"/>
      <c r="D142" s="23"/>
      <c r="E142" s="22"/>
      <c r="F142" s="22"/>
      <c r="G142" s="22"/>
      <c r="H142" s="23"/>
      <c r="I142" s="22"/>
      <c r="J142" s="22"/>
      <c r="K142" s="22"/>
      <c r="L142" s="23"/>
      <c r="M142" s="71"/>
      <c r="N142" s="71"/>
      <c r="O142" s="22"/>
      <c r="P142" s="22"/>
      <c r="Q142" s="22"/>
      <c r="R142" s="71"/>
      <c r="S142" s="71"/>
      <c r="T142" s="71"/>
      <c r="U142" s="71"/>
      <c r="V142" s="71"/>
      <c r="W142" s="71"/>
      <c r="X142" s="71"/>
      <c r="Y142" s="71"/>
      <c r="Z142" s="71"/>
      <c r="AA142" s="71"/>
      <c r="AB142" s="71"/>
      <c r="AC142" s="22"/>
      <c r="AD142" s="22"/>
      <c r="AE142" s="22"/>
      <c r="AF142" s="22"/>
      <c r="AG142" s="22"/>
      <c r="AH142" s="22"/>
      <c r="AI142" s="22"/>
      <c r="AJ142" s="22"/>
      <c r="AK142" s="22"/>
      <c r="AL142" s="22"/>
      <c r="AM142" s="22"/>
      <c r="AN142" s="22"/>
      <c r="AO142" s="22"/>
      <c r="AP142" s="22"/>
      <c r="AQ142" s="22"/>
      <c r="AR142" s="22"/>
      <c r="AS142" s="22"/>
    </row>
    <row r="143" spans="1:45" x14ac:dyDescent="0.3">
      <c r="A143" s="22"/>
      <c r="B143" s="71"/>
      <c r="C143" s="22"/>
      <c r="D143" s="23"/>
      <c r="E143" s="22"/>
      <c r="F143" s="22"/>
      <c r="G143" s="22"/>
      <c r="H143" s="23"/>
      <c r="I143" s="22"/>
      <c r="J143" s="22"/>
      <c r="K143" s="22"/>
      <c r="L143" s="23"/>
      <c r="M143" s="71"/>
      <c r="N143" s="71"/>
      <c r="O143" s="22"/>
      <c r="P143" s="22"/>
      <c r="Q143" s="22"/>
      <c r="R143" s="71"/>
      <c r="AC143" s="22"/>
      <c r="AD143" s="22"/>
      <c r="AE143" s="22"/>
      <c r="AF143" s="22"/>
      <c r="AG143" s="22"/>
      <c r="AH143" s="22"/>
      <c r="AI143" s="22"/>
      <c r="AJ143" s="22"/>
      <c r="AK143" s="22"/>
      <c r="AL143" s="22"/>
      <c r="AM143" s="22"/>
      <c r="AN143" s="22"/>
      <c r="AO143" s="22"/>
      <c r="AP143" s="22"/>
      <c r="AQ143" s="22"/>
      <c r="AR143" s="22"/>
      <c r="AS143" s="22"/>
    </row>
    <row r="144" spans="1:45" x14ac:dyDescent="0.3">
      <c r="A144" s="22"/>
      <c r="B144" s="71"/>
      <c r="C144" s="22"/>
      <c r="D144" s="23"/>
      <c r="E144" s="22"/>
      <c r="F144" s="22"/>
      <c r="G144" s="22"/>
      <c r="H144" s="23"/>
      <c r="I144" s="22"/>
      <c r="J144" s="22"/>
      <c r="K144" s="22"/>
      <c r="L144" s="23"/>
      <c r="M144" s="71"/>
      <c r="N144" s="71"/>
      <c r="O144" s="22"/>
      <c r="P144" s="22"/>
      <c r="Q144" s="22"/>
      <c r="R144" s="71"/>
      <c r="AC144" s="22"/>
      <c r="AD144" s="22"/>
      <c r="AE144" s="22"/>
      <c r="AF144" s="22"/>
      <c r="AG144" s="22"/>
      <c r="AH144" s="22"/>
      <c r="AI144" s="22"/>
      <c r="AJ144" s="22"/>
      <c r="AK144" s="22"/>
      <c r="AL144" s="22"/>
      <c r="AM144" s="22"/>
      <c r="AN144" s="22"/>
      <c r="AO144" s="22"/>
      <c r="AP144" s="22"/>
      <c r="AQ144" s="22"/>
      <c r="AR144" s="22"/>
      <c r="AS144" s="22"/>
    </row>
    <row r="145" spans="1:45" x14ac:dyDescent="0.3">
      <c r="A145" s="22"/>
      <c r="B145" s="71"/>
      <c r="C145" s="22"/>
      <c r="D145" s="23"/>
      <c r="E145" s="22"/>
      <c r="F145" s="22"/>
      <c r="G145" s="22"/>
      <c r="H145" s="23"/>
      <c r="I145" s="22"/>
      <c r="J145" s="22"/>
      <c r="K145" s="22"/>
      <c r="L145" s="23"/>
      <c r="M145" s="71"/>
      <c r="N145" s="71"/>
      <c r="O145" s="22"/>
      <c r="P145" s="22"/>
      <c r="Q145" s="22"/>
      <c r="R145" s="71"/>
      <c r="AC145" s="22"/>
      <c r="AD145" s="22"/>
      <c r="AE145" s="22"/>
      <c r="AF145" s="22"/>
      <c r="AG145" s="22"/>
      <c r="AH145" s="22"/>
      <c r="AI145" s="22"/>
      <c r="AJ145" s="22"/>
      <c r="AK145" s="22"/>
      <c r="AL145" s="22"/>
      <c r="AM145" s="22"/>
      <c r="AN145" s="22"/>
      <c r="AO145" s="22"/>
      <c r="AP145" s="22"/>
      <c r="AQ145" s="22"/>
      <c r="AR145" s="22"/>
      <c r="AS145" s="22"/>
    </row>
    <row r="146" spans="1:45" x14ac:dyDescent="0.3">
      <c r="A146" s="22"/>
      <c r="B146" s="71"/>
      <c r="C146" s="22"/>
      <c r="D146" s="23"/>
      <c r="E146" s="22"/>
      <c r="F146" s="22"/>
      <c r="G146" s="22"/>
      <c r="H146" s="23"/>
      <c r="I146" s="22"/>
      <c r="J146" s="22"/>
      <c r="K146" s="22"/>
      <c r="L146" s="23"/>
      <c r="M146" s="71"/>
      <c r="N146" s="71"/>
      <c r="O146" s="22"/>
      <c r="P146" s="22"/>
      <c r="Q146" s="22"/>
      <c r="R146" s="71"/>
      <c r="AC146" s="22"/>
      <c r="AD146" s="22"/>
      <c r="AE146" s="22"/>
      <c r="AF146" s="22"/>
      <c r="AG146" s="22"/>
      <c r="AH146" s="22"/>
      <c r="AI146" s="22"/>
      <c r="AJ146" s="22"/>
      <c r="AK146" s="22"/>
      <c r="AL146" s="22"/>
      <c r="AM146" s="22"/>
      <c r="AN146" s="22"/>
      <c r="AO146" s="22"/>
      <c r="AP146" s="22"/>
      <c r="AQ146" s="22"/>
      <c r="AR146" s="22"/>
      <c r="AS146" s="22"/>
    </row>
    <row r="147" spans="1:45" x14ac:dyDescent="0.3">
      <c r="A147" s="22"/>
      <c r="B147" s="71"/>
      <c r="C147" s="22"/>
      <c r="D147" s="23"/>
      <c r="E147" s="22"/>
      <c r="F147" s="22"/>
      <c r="G147" s="22"/>
      <c r="H147" s="23"/>
      <c r="I147" s="22"/>
      <c r="J147" s="22"/>
      <c r="K147" s="22"/>
      <c r="L147" s="23"/>
      <c r="M147" s="71"/>
      <c r="N147" s="71"/>
      <c r="O147" s="22"/>
      <c r="P147" s="22"/>
      <c r="Q147" s="22"/>
      <c r="R147" s="71"/>
      <c r="AC147" s="22"/>
      <c r="AD147" s="22"/>
      <c r="AE147" s="22"/>
      <c r="AF147" s="22"/>
      <c r="AG147" s="22"/>
      <c r="AH147" s="22"/>
      <c r="AI147" s="22"/>
      <c r="AJ147" s="22"/>
      <c r="AK147" s="22"/>
      <c r="AL147" s="22"/>
      <c r="AM147" s="22"/>
      <c r="AN147" s="22"/>
      <c r="AO147" s="22"/>
      <c r="AP147" s="22"/>
      <c r="AQ147" s="22"/>
      <c r="AR147" s="22"/>
      <c r="AS147" s="22"/>
    </row>
    <row r="148" spans="1:45" x14ac:dyDescent="0.3">
      <c r="A148" s="22"/>
      <c r="B148" s="71"/>
      <c r="C148" s="22"/>
      <c r="D148" s="23"/>
      <c r="E148" s="22"/>
      <c r="F148" s="22"/>
      <c r="G148" s="22"/>
      <c r="H148" s="23"/>
      <c r="I148" s="22"/>
      <c r="J148" s="22"/>
      <c r="K148" s="22"/>
      <c r="L148" s="23"/>
      <c r="M148" s="71"/>
      <c r="N148" s="71"/>
      <c r="O148" s="22"/>
      <c r="P148" s="22"/>
      <c r="Q148" s="22"/>
      <c r="R148" s="71"/>
      <c r="AC148" s="22"/>
      <c r="AD148" s="22"/>
      <c r="AE148" s="22"/>
      <c r="AF148" s="22"/>
      <c r="AG148" s="22"/>
      <c r="AH148" s="22"/>
      <c r="AI148" s="22"/>
      <c r="AJ148" s="22"/>
      <c r="AK148" s="22"/>
      <c r="AL148" s="22"/>
      <c r="AM148" s="22"/>
      <c r="AN148" s="22"/>
      <c r="AO148" s="22"/>
      <c r="AP148" s="22"/>
      <c r="AQ148" s="22"/>
      <c r="AR148" s="22"/>
      <c r="AS148" s="22"/>
    </row>
    <row r="149" spans="1:45" x14ac:dyDescent="0.3">
      <c r="A149" s="22"/>
      <c r="B149" s="71"/>
      <c r="C149" s="22"/>
      <c r="D149" s="23"/>
      <c r="E149" s="22"/>
      <c r="F149" s="22"/>
      <c r="G149" s="22"/>
      <c r="H149" s="23"/>
      <c r="I149" s="22"/>
      <c r="J149" s="22"/>
      <c r="K149" s="22"/>
      <c r="L149" s="23"/>
      <c r="M149" s="71"/>
      <c r="N149" s="71"/>
      <c r="O149" s="22"/>
      <c r="P149" s="22"/>
      <c r="Q149" s="22"/>
      <c r="R149" s="71"/>
      <c r="AC149" s="22"/>
      <c r="AD149" s="22"/>
      <c r="AE149" s="22"/>
      <c r="AF149" s="22"/>
      <c r="AG149" s="22"/>
      <c r="AH149" s="22"/>
      <c r="AI149" s="22"/>
      <c r="AJ149" s="22"/>
      <c r="AK149" s="22"/>
      <c r="AL149" s="22"/>
      <c r="AM149" s="22"/>
      <c r="AN149" s="22"/>
      <c r="AO149" s="22"/>
      <c r="AP149" s="22"/>
      <c r="AQ149" s="22"/>
      <c r="AR149" s="22"/>
      <c r="AS149" s="22"/>
    </row>
    <row r="150" spans="1:45" x14ac:dyDescent="0.3">
      <c r="A150" s="22"/>
      <c r="B150" s="71"/>
      <c r="C150" s="22"/>
      <c r="D150" s="23"/>
      <c r="E150" s="22"/>
      <c r="F150" s="22"/>
      <c r="G150" s="22"/>
      <c r="H150" s="23"/>
      <c r="I150" s="22"/>
      <c r="J150" s="22"/>
      <c r="K150" s="22"/>
      <c r="L150" s="23"/>
      <c r="M150" s="71"/>
      <c r="N150" s="71"/>
      <c r="O150" s="22"/>
      <c r="P150" s="22"/>
      <c r="Q150" s="22"/>
      <c r="R150" s="71"/>
      <c r="AC150" s="22"/>
      <c r="AD150" s="22"/>
      <c r="AE150" s="22"/>
      <c r="AF150" s="22"/>
      <c r="AG150" s="22"/>
      <c r="AH150" s="22"/>
      <c r="AI150" s="22"/>
      <c r="AJ150" s="22"/>
      <c r="AK150" s="22"/>
      <c r="AL150" s="22"/>
      <c r="AM150" s="22"/>
      <c r="AN150" s="22"/>
      <c r="AO150" s="22"/>
      <c r="AP150" s="22"/>
      <c r="AQ150" s="22"/>
      <c r="AR150" s="22"/>
      <c r="AS150" s="22"/>
    </row>
    <row r="151" spans="1:45" x14ac:dyDescent="0.3">
      <c r="A151" s="22"/>
      <c r="B151" s="71"/>
      <c r="C151" s="22"/>
      <c r="D151" s="23"/>
      <c r="E151" s="22"/>
      <c r="F151" s="22"/>
      <c r="G151" s="22"/>
      <c r="H151" s="23"/>
      <c r="I151" s="22"/>
      <c r="J151" s="22"/>
      <c r="K151" s="22"/>
      <c r="L151" s="23"/>
      <c r="M151" s="71"/>
      <c r="N151" s="71"/>
      <c r="O151" s="22"/>
      <c r="P151" s="22"/>
      <c r="Q151" s="22"/>
      <c r="R151" s="71"/>
      <c r="AC151" s="22"/>
      <c r="AD151" s="22"/>
      <c r="AE151" s="22"/>
      <c r="AF151" s="22"/>
      <c r="AG151" s="22"/>
      <c r="AH151" s="22"/>
      <c r="AI151" s="22"/>
      <c r="AJ151" s="22"/>
      <c r="AK151" s="22"/>
      <c r="AL151" s="22"/>
      <c r="AM151" s="22"/>
      <c r="AN151" s="22"/>
      <c r="AO151" s="22"/>
      <c r="AP151" s="22"/>
      <c r="AQ151" s="22"/>
      <c r="AR151" s="22"/>
      <c r="AS151" s="22"/>
    </row>
    <row r="152" spans="1:45" x14ac:dyDescent="0.3">
      <c r="A152" s="22"/>
      <c r="B152" s="71"/>
      <c r="C152" s="22"/>
      <c r="D152" s="23"/>
      <c r="E152" s="22"/>
      <c r="F152" s="22"/>
      <c r="G152" s="22"/>
      <c r="H152" s="23"/>
      <c r="I152" s="22"/>
      <c r="J152" s="22"/>
      <c r="K152" s="22"/>
      <c r="L152" s="23"/>
      <c r="M152" s="71"/>
      <c r="N152" s="71"/>
      <c r="O152" s="22"/>
      <c r="P152" s="22"/>
      <c r="Q152" s="22"/>
      <c r="R152" s="71"/>
      <c r="AC152" s="22"/>
      <c r="AD152" s="22"/>
      <c r="AE152" s="22"/>
      <c r="AF152" s="22"/>
      <c r="AG152" s="22"/>
      <c r="AH152" s="22"/>
      <c r="AI152" s="22"/>
      <c r="AJ152" s="22"/>
      <c r="AK152" s="22"/>
      <c r="AL152" s="22"/>
      <c r="AM152" s="22"/>
      <c r="AN152" s="22"/>
      <c r="AO152" s="22"/>
      <c r="AP152" s="22"/>
      <c r="AQ152" s="22"/>
      <c r="AR152" s="22"/>
      <c r="AS152" s="22"/>
    </row>
    <row r="153" spans="1:45" x14ac:dyDescent="0.3">
      <c r="A153" s="22"/>
      <c r="B153" s="71"/>
      <c r="C153" s="22"/>
      <c r="D153" s="23"/>
      <c r="E153" s="22"/>
      <c r="F153" s="22"/>
      <c r="G153" s="22"/>
      <c r="H153" s="23"/>
      <c r="I153" s="22"/>
      <c r="J153" s="22"/>
      <c r="K153" s="22"/>
      <c r="L153" s="23"/>
      <c r="M153" s="71"/>
      <c r="N153" s="71"/>
      <c r="O153" s="22"/>
      <c r="P153" s="22"/>
      <c r="Q153" s="22"/>
      <c r="R153" s="71"/>
      <c r="AC153" s="22"/>
      <c r="AD153" s="22"/>
      <c r="AE153" s="22"/>
      <c r="AF153" s="22"/>
      <c r="AG153" s="22"/>
      <c r="AH153" s="22"/>
      <c r="AI153" s="22"/>
      <c r="AJ153" s="22"/>
      <c r="AK153" s="22"/>
      <c r="AL153" s="22"/>
      <c r="AM153" s="22"/>
      <c r="AN153" s="22"/>
      <c r="AO153" s="22"/>
      <c r="AP153" s="22"/>
      <c r="AQ153" s="22"/>
      <c r="AR153" s="22"/>
      <c r="AS153" s="22"/>
    </row>
    <row r="154" spans="1:45" x14ac:dyDescent="0.3">
      <c r="A154" s="22"/>
      <c r="B154" s="71"/>
      <c r="C154" s="22"/>
      <c r="D154" s="23"/>
      <c r="E154" s="22"/>
      <c r="F154" s="22"/>
      <c r="G154" s="22"/>
      <c r="H154" s="23"/>
      <c r="I154" s="22"/>
      <c r="J154" s="22"/>
      <c r="K154" s="22"/>
      <c r="L154" s="23"/>
      <c r="M154" s="71"/>
      <c r="N154" s="71"/>
      <c r="O154" s="22"/>
      <c r="P154" s="22"/>
      <c r="Q154" s="22"/>
      <c r="R154" s="71"/>
      <c r="AC154" s="22"/>
      <c r="AD154" s="22"/>
      <c r="AE154" s="22"/>
      <c r="AF154" s="22"/>
      <c r="AG154" s="22"/>
      <c r="AH154" s="22"/>
      <c r="AI154" s="22"/>
      <c r="AJ154" s="22"/>
      <c r="AK154" s="22"/>
      <c r="AL154" s="22"/>
      <c r="AM154" s="22"/>
      <c r="AN154" s="22"/>
      <c r="AO154" s="22"/>
      <c r="AP154" s="22"/>
      <c r="AQ154" s="22"/>
      <c r="AR154" s="22"/>
      <c r="AS154" s="22"/>
    </row>
    <row r="155" spans="1:45" x14ac:dyDescent="0.3">
      <c r="A155" s="22"/>
      <c r="B155" s="71"/>
      <c r="C155" s="22"/>
      <c r="D155" s="23"/>
      <c r="E155" s="22"/>
      <c r="F155" s="22"/>
      <c r="G155" s="22"/>
      <c r="H155" s="23"/>
      <c r="I155" s="22"/>
      <c r="J155" s="22"/>
      <c r="K155" s="22"/>
      <c r="L155" s="23"/>
      <c r="M155" s="71"/>
      <c r="N155" s="71"/>
      <c r="O155" s="22"/>
      <c r="P155" s="22"/>
      <c r="Q155" s="22"/>
      <c r="R155" s="71"/>
      <c r="AC155" s="22"/>
      <c r="AD155" s="22"/>
      <c r="AE155" s="22"/>
      <c r="AF155" s="22"/>
      <c r="AG155" s="22"/>
      <c r="AH155" s="22"/>
      <c r="AI155" s="22"/>
      <c r="AJ155" s="22"/>
      <c r="AK155" s="22"/>
      <c r="AL155" s="22"/>
      <c r="AM155" s="22"/>
      <c r="AN155" s="22"/>
      <c r="AO155" s="22"/>
      <c r="AP155" s="22"/>
      <c r="AQ155" s="22"/>
      <c r="AR155" s="22"/>
      <c r="AS155" s="22"/>
    </row>
    <row r="156" spans="1:45" x14ac:dyDescent="0.3">
      <c r="A156" s="22"/>
      <c r="B156" s="71"/>
      <c r="C156" s="22"/>
      <c r="D156" s="23"/>
      <c r="E156" s="22"/>
      <c r="F156" s="22"/>
      <c r="G156" s="22"/>
      <c r="H156" s="23"/>
      <c r="I156" s="22"/>
      <c r="J156" s="22"/>
      <c r="K156" s="22"/>
      <c r="L156" s="23"/>
      <c r="M156" s="71"/>
      <c r="N156" s="71"/>
      <c r="O156" s="22"/>
      <c r="P156" s="22"/>
      <c r="Q156" s="22"/>
      <c r="R156" s="71"/>
      <c r="AC156" s="22"/>
      <c r="AD156" s="22"/>
      <c r="AE156" s="22"/>
      <c r="AF156" s="22"/>
      <c r="AG156" s="22"/>
      <c r="AH156" s="22"/>
      <c r="AI156" s="22"/>
      <c r="AJ156" s="22"/>
      <c r="AK156" s="22"/>
      <c r="AL156" s="22"/>
      <c r="AM156" s="22"/>
      <c r="AN156" s="22"/>
      <c r="AO156" s="22"/>
      <c r="AP156" s="22"/>
      <c r="AQ156" s="22"/>
      <c r="AR156" s="22"/>
      <c r="AS156" s="22"/>
    </row>
    <row r="157" spans="1:45" x14ac:dyDescent="0.3">
      <c r="A157" s="22"/>
      <c r="B157" s="71"/>
      <c r="C157" s="22"/>
      <c r="D157" s="23"/>
      <c r="E157" s="22"/>
      <c r="F157" s="22"/>
      <c r="G157" s="22"/>
      <c r="H157" s="23"/>
      <c r="I157" s="22"/>
      <c r="J157" s="22"/>
      <c r="K157" s="22"/>
      <c r="L157" s="23"/>
      <c r="M157" s="71"/>
      <c r="N157" s="71"/>
      <c r="O157" s="22"/>
      <c r="P157" s="22"/>
      <c r="Q157" s="22"/>
      <c r="R157" s="71"/>
      <c r="AC157" s="22"/>
      <c r="AD157" s="22"/>
      <c r="AE157" s="22"/>
      <c r="AF157" s="22"/>
      <c r="AG157" s="22"/>
      <c r="AH157" s="22"/>
      <c r="AI157" s="22"/>
      <c r="AJ157" s="22"/>
      <c r="AK157" s="22"/>
      <c r="AL157" s="22"/>
      <c r="AM157" s="22"/>
      <c r="AN157" s="22"/>
      <c r="AO157" s="22"/>
      <c r="AP157" s="22"/>
      <c r="AQ157" s="22"/>
      <c r="AR157" s="22"/>
      <c r="AS157" s="22"/>
    </row>
    <row r="158" spans="1:45" x14ac:dyDescent="0.3">
      <c r="A158" s="22"/>
      <c r="B158" s="71"/>
      <c r="C158" s="22"/>
      <c r="D158" s="23"/>
      <c r="E158" s="22"/>
      <c r="F158" s="22"/>
      <c r="G158" s="22"/>
      <c r="H158" s="23"/>
      <c r="I158" s="22"/>
      <c r="J158" s="22"/>
      <c r="K158" s="22"/>
      <c r="L158" s="23"/>
      <c r="M158" s="71"/>
      <c r="N158" s="71"/>
      <c r="O158" s="22"/>
      <c r="P158" s="22"/>
      <c r="Q158" s="22"/>
      <c r="R158" s="71"/>
      <c r="AC158" s="22"/>
      <c r="AD158" s="22"/>
      <c r="AE158" s="22"/>
      <c r="AF158" s="22"/>
      <c r="AG158" s="22"/>
      <c r="AH158" s="22"/>
      <c r="AI158" s="22"/>
      <c r="AJ158" s="22"/>
      <c r="AK158" s="22"/>
      <c r="AL158" s="22"/>
      <c r="AM158" s="22"/>
      <c r="AN158" s="22"/>
      <c r="AO158" s="22"/>
      <c r="AP158" s="22"/>
      <c r="AQ158" s="22"/>
      <c r="AR158" s="22"/>
      <c r="AS158" s="22"/>
    </row>
    <row r="159" spans="1:45" x14ac:dyDescent="0.3">
      <c r="A159" s="22"/>
      <c r="B159" s="71"/>
      <c r="C159" s="22"/>
      <c r="D159" s="23"/>
      <c r="E159" s="22"/>
      <c r="F159" s="22"/>
      <c r="G159" s="22"/>
      <c r="H159" s="23"/>
      <c r="I159" s="22"/>
      <c r="J159" s="22"/>
      <c r="K159" s="22"/>
      <c r="L159" s="23"/>
      <c r="M159" s="71"/>
      <c r="N159" s="71"/>
      <c r="O159" s="22"/>
      <c r="P159" s="22"/>
      <c r="Q159" s="22"/>
      <c r="R159" s="71"/>
      <c r="AC159" s="22"/>
      <c r="AD159" s="22"/>
      <c r="AE159" s="22"/>
      <c r="AF159" s="22"/>
      <c r="AG159" s="22"/>
      <c r="AH159" s="22"/>
      <c r="AI159" s="22"/>
      <c r="AJ159" s="22"/>
      <c r="AK159" s="22"/>
      <c r="AL159" s="22"/>
      <c r="AM159" s="22"/>
      <c r="AN159" s="22"/>
      <c r="AO159" s="22"/>
      <c r="AP159" s="22"/>
      <c r="AQ159" s="22"/>
      <c r="AR159" s="22"/>
      <c r="AS159" s="22"/>
    </row>
    <row r="160" spans="1:45" x14ac:dyDescent="0.3">
      <c r="A160" s="22"/>
      <c r="B160" s="71"/>
      <c r="C160" s="22"/>
      <c r="D160" s="23"/>
      <c r="E160" s="22"/>
      <c r="F160" s="22"/>
      <c r="G160" s="22"/>
      <c r="H160" s="23"/>
      <c r="I160" s="22"/>
      <c r="J160" s="22"/>
      <c r="K160" s="22"/>
      <c r="L160" s="23"/>
      <c r="M160" s="71"/>
      <c r="N160" s="71"/>
      <c r="O160" s="22"/>
      <c r="P160" s="22"/>
      <c r="Q160" s="22"/>
      <c r="R160" s="71"/>
      <c r="AC160" s="22"/>
      <c r="AD160" s="22"/>
      <c r="AE160" s="22"/>
      <c r="AF160" s="22"/>
      <c r="AG160" s="22"/>
      <c r="AH160" s="22"/>
      <c r="AI160" s="22"/>
      <c r="AJ160" s="22"/>
      <c r="AK160" s="22"/>
      <c r="AL160" s="22"/>
      <c r="AM160" s="22"/>
      <c r="AN160" s="22"/>
      <c r="AO160" s="22"/>
      <c r="AP160" s="22"/>
      <c r="AQ160" s="22"/>
      <c r="AR160" s="22"/>
      <c r="AS160" s="22"/>
    </row>
    <row r="161" spans="1:45" x14ac:dyDescent="0.3">
      <c r="A161" s="22"/>
      <c r="B161" s="71"/>
      <c r="C161" s="22"/>
      <c r="D161" s="23"/>
      <c r="E161" s="22"/>
      <c r="F161" s="22"/>
      <c r="G161" s="22"/>
      <c r="H161" s="23"/>
      <c r="I161" s="22"/>
      <c r="J161" s="22"/>
      <c r="K161" s="22"/>
      <c r="L161" s="23"/>
      <c r="M161" s="71"/>
      <c r="N161" s="71"/>
      <c r="O161" s="22"/>
      <c r="P161" s="22"/>
      <c r="Q161" s="22"/>
      <c r="R161" s="71"/>
      <c r="AC161" s="22"/>
      <c r="AD161" s="22"/>
      <c r="AE161" s="22"/>
      <c r="AF161" s="22"/>
      <c r="AG161" s="22"/>
      <c r="AH161" s="22"/>
      <c r="AI161" s="22"/>
      <c r="AJ161" s="22"/>
      <c r="AK161" s="22"/>
      <c r="AL161" s="22"/>
      <c r="AM161" s="22"/>
      <c r="AN161" s="22"/>
      <c r="AO161" s="22"/>
      <c r="AP161" s="22"/>
      <c r="AQ161" s="22"/>
      <c r="AR161" s="22"/>
      <c r="AS161" s="22"/>
    </row>
    <row r="162" spans="1:45" x14ac:dyDescent="0.3">
      <c r="A162" s="22"/>
      <c r="B162" s="71"/>
      <c r="C162" s="22"/>
      <c r="D162" s="23"/>
      <c r="E162" s="22"/>
      <c r="F162" s="22"/>
      <c r="G162" s="22"/>
      <c r="H162" s="23"/>
      <c r="I162" s="22"/>
      <c r="J162" s="22"/>
      <c r="K162" s="22"/>
      <c r="L162" s="23"/>
      <c r="M162" s="71"/>
      <c r="N162" s="71"/>
      <c r="O162" s="22"/>
      <c r="P162" s="22"/>
      <c r="Q162" s="22"/>
      <c r="R162" s="71"/>
      <c r="AC162" s="22"/>
      <c r="AD162" s="22"/>
      <c r="AE162" s="22"/>
      <c r="AF162" s="22"/>
      <c r="AG162" s="22"/>
      <c r="AH162" s="22"/>
      <c r="AI162" s="22"/>
      <c r="AJ162" s="22"/>
      <c r="AK162" s="22"/>
      <c r="AL162" s="22"/>
      <c r="AM162" s="22"/>
      <c r="AN162" s="22"/>
      <c r="AO162" s="22"/>
      <c r="AP162" s="22"/>
      <c r="AQ162" s="22"/>
      <c r="AR162" s="22"/>
      <c r="AS162" s="22"/>
    </row>
    <row r="163" spans="1:45" x14ac:dyDescent="0.3">
      <c r="A163" s="22"/>
      <c r="B163" s="71"/>
      <c r="C163" s="22"/>
      <c r="D163" s="23"/>
      <c r="E163" s="22"/>
      <c r="F163" s="22"/>
      <c r="G163" s="22"/>
      <c r="H163" s="23"/>
      <c r="I163" s="22"/>
      <c r="J163" s="22"/>
      <c r="K163" s="22"/>
      <c r="L163" s="23"/>
      <c r="M163" s="71"/>
      <c r="N163" s="71"/>
      <c r="O163" s="22"/>
      <c r="P163" s="22"/>
      <c r="Q163" s="22"/>
      <c r="R163" s="71"/>
      <c r="AC163" s="22"/>
      <c r="AD163" s="22"/>
      <c r="AE163" s="22"/>
      <c r="AF163" s="22"/>
      <c r="AG163" s="22"/>
      <c r="AH163" s="22"/>
      <c r="AI163" s="22"/>
      <c r="AJ163" s="22"/>
      <c r="AK163" s="22"/>
      <c r="AL163" s="22"/>
      <c r="AM163" s="22"/>
      <c r="AN163" s="22"/>
      <c r="AO163" s="22"/>
      <c r="AP163" s="22"/>
      <c r="AQ163" s="22"/>
      <c r="AR163" s="22"/>
      <c r="AS163" s="22"/>
    </row>
    <row r="164" spans="1:45" x14ac:dyDescent="0.3">
      <c r="A164" s="22"/>
      <c r="B164" s="71"/>
      <c r="C164" s="22"/>
      <c r="D164" s="23"/>
      <c r="E164" s="22"/>
      <c r="F164" s="22"/>
      <c r="G164" s="22"/>
      <c r="H164" s="23"/>
      <c r="I164" s="22"/>
      <c r="J164" s="22"/>
      <c r="K164" s="22"/>
      <c r="L164" s="23"/>
      <c r="M164" s="71"/>
      <c r="N164" s="71"/>
      <c r="O164" s="22"/>
      <c r="P164" s="22"/>
      <c r="Q164" s="22"/>
      <c r="R164" s="71"/>
      <c r="AC164" s="22"/>
      <c r="AD164" s="22"/>
      <c r="AE164" s="22"/>
      <c r="AF164" s="22"/>
      <c r="AG164" s="22"/>
      <c r="AH164" s="22"/>
      <c r="AI164" s="22"/>
      <c r="AJ164" s="22"/>
      <c r="AK164" s="22"/>
      <c r="AL164" s="22"/>
      <c r="AM164" s="22"/>
      <c r="AN164" s="22"/>
      <c r="AO164" s="22"/>
      <c r="AP164" s="22"/>
      <c r="AQ164" s="22"/>
      <c r="AR164" s="22"/>
      <c r="AS164" s="22"/>
    </row>
    <row r="165" spans="1:45" x14ac:dyDescent="0.3">
      <c r="A165" s="22"/>
      <c r="B165" s="71"/>
      <c r="C165" s="22"/>
      <c r="D165" s="23"/>
      <c r="E165" s="22"/>
      <c r="F165" s="22"/>
      <c r="G165" s="22"/>
      <c r="H165" s="23"/>
      <c r="I165" s="22"/>
      <c r="J165" s="22"/>
      <c r="K165" s="22"/>
      <c r="L165" s="23"/>
      <c r="M165" s="71"/>
      <c r="N165" s="71"/>
      <c r="O165" s="22"/>
      <c r="P165" s="22"/>
      <c r="Q165" s="22"/>
      <c r="R165" s="71"/>
      <c r="AC165" s="22"/>
      <c r="AD165" s="22"/>
      <c r="AE165" s="22"/>
      <c r="AF165" s="22"/>
      <c r="AG165" s="22"/>
      <c r="AH165" s="22"/>
      <c r="AI165" s="22"/>
      <c r="AJ165" s="22"/>
      <c r="AK165" s="22"/>
      <c r="AL165" s="22"/>
      <c r="AM165" s="22"/>
      <c r="AN165" s="22"/>
      <c r="AO165" s="22"/>
      <c r="AP165" s="22"/>
      <c r="AQ165" s="22"/>
      <c r="AR165" s="22"/>
      <c r="AS165" s="22"/>
    </row>
    <row r="166" spans="1:45" x14ac:dyDescent="0.3">
      <c r="A166" s="22"/>
      <c r="B166" s="71"/>
      <c r="C166" s="22"/>
      <c r="D166" s="23"/>
      <c r="E166" s="22"/>
      <c r="F166" s="22"/>
      <c r="G166" s="22"/>
      <c r="H166" s="23"/>
      <c r="I166" s="22"/>
      <c r="J166" s="22"/>
      <c r="K166" s="22"/>
      <c r="L166" s="23"/>
      <c r="M166" s="71"/>
      <c r="N166" s="71"/>
      <c r="O166" s="22"/>
      <c r="P166" s="22"/>
      <c r="Q166" s="22"/>
      <c r="R166" s="71"/>
      <c r="AC166" s="22"/>
      <c r="AD166" s="22"/>
      <c r="AE166" s="22"/>
      <c r="AF166" s="22"/>
      <c r="AG166" s="22"/>
      <c r="AH166" s="22"/>
      <c r="AI166" s="22"/>
      <c r="AJ166" s="22"/>
      <c r="AK166" s="22"/>
      <c r="AL166" s="22"/>
      <c r="AM166" s="22"/>
      <c r="AN166" s="22"/>
      <c r="AO166" s="22"/>
      <c r="AP166" s="22"/>
      <c r="AQ166" s="22"/>
      <c r="AR166" s="22"/>
      <c r="AS166" s="22"/>
    </row>
    <row r="167" spans="1:45" x14ac:dyDescent="0.3">
      <c r="A167" s="22"/>
      <c r="B167" s="71"/>
      <c r="C167" s="22"/>
      <c r="D167" s="23"/>
      <c r="E167" s="22"/>
      <c r="F167" s="22"/>
      <c r="G167" s="22"/>
      <c r="H167" s="23"/>
      <c r="I167" s="22"/>
      <c r="J167" s="22"/>
      <c r="K167" s="22"/>
      <c r="L167" s="23"/>
      <c r="M167" s="71"/>
      <c r="N167" s="71"/>
      <c r="O167" s="22"/>
      <c r="P167" s="22"/>
      <c r="Q167" s="22"/>
      <c r="R167" s="71"/>
      <c r="AC167" s="22"/>
      <c r="AD167" s="22"/>
      <c r="AE167" s="22"/>
      <c r="AF167" s="22"/>
      <c r="AG167" s="22"/>
      <c r="AH167" s="22"/>
      <c r="AI167" s="22"/>
      <c r="AJ167" s="22"/>
      <c r="AK167" s="22"/>
      <c r="AL167" s="22"/>
      <c r="AM167" s="22"/>
      <c r="AN167" s="22"/>
      <c r="AO167" s="22"/>
      <c r="AP167" s="22"/>
      <c r="AQ167" s="22"/>
      <c r="AR167" s="22"/>
      <c r="AS167" s="22"/>
    </row>
    <row r="168" spans="1:45" x14ac:dyDescent="0.3">
      <c r="A168" s="22"/>
      <c r="B168" s="71"/>
      <c r="C168" s="22"/>
      <c r="D168" s="23"/>
      <c r="E168" s="22"/>
      <c r="F168" s="22"/>
      <c r="G168" s="22"/>
      <c r="H168" s="23"/>
      <c r="I168" s="22"/>
      <c r="J168" s="22"/>
      <c r="K168" s="22"/>
      <c r="L168" s="23"/>
      <c r="M168" s="71"/>
      <c r="N168" s="71"/>
      <c r="O168" s="22"/>
      <c r="P168" s="22"/>
      <c r="Q168" s="22"/>
      <c r="R168" s="71"/>
      <c r="AC168" s="22"/>
      <c r="AD168" s="22"/>
      <c r="AE168" s="22"/>
      <c r="AF168" s="22"/>
      <c r="AG168" s="22"/>
      <c r="AH168" s="22"/>
      <c r="AI168" s="22"/>
      <c r="AJ168" s="22"/>
      <c r="AK168" s="22"/>
      <c r="AL168" s="22"/>
      <c r="AM168" s="22"/>
      <c r="AN168" s="22"/>
      <c r="AO168" s="22"/>
      <c r="AP168" s="22"/>
      <c r="AQ168" s="22"/>
      <c r="AR168" s="22"/>
      <c r="AS168" s="22"/>
    </row>
    <row r="169" spans="1:45" x14ac:dyDescent="0.3">
      <c r="A169" s="22"/>
      <c r="B169" s="71"/>
      <c r="C169" s="22"/>
      <c r="D169" s="23"/>
      <c r="E169" s="22"/>
      <c r="F169" s="22"/>
      <c r="G169" s="22"/>
      <c r="H169" s="23"/>
      <c r="I169" s="22"/>
      <c r="J169" s="22"/>
      <c r="K169" s="22"/>
      <c r="L169" s="23"/>
      <c r="M169" s="71"/>
      <c r="N169" s="71"/>
      <c r="O169" s="22"/>
      <c r="P169" s="22"/>
      <c r="Q169" s="22"/>
      <c r="R169" s="71"/>
      <c r="AC169" s="22"/>
      <c r="AD169" s="22"/>
      <c r="AE169" s="22"/>
      <c r="AF169" s="22"/>
      <c r="AG169" s="22"/>
      <c r="AH169" s="22"/>
      <c r="AI169" s="22"/>
      <c r="AJ169" s="22"/>
      <c r="AK169" s="22"/>
      <c r="AL169" s="22"/>
      <c r="AM169" s="22"/>
      <c r="AN169" s="22"/>
      <c r="AO169" s="22"/>
      <c r="AP169" s="22"/>
      <c r="AQ169" s="22"/>
      <c r="AR169" s="22"/>
      <c r="AS169" s="22"/>
    </row>
    <row r="170" spans="1:45" x14ac:dyDescent="0.3">
      <c r="A170" s="22"/>
      <c r="B170" s="71"/>
      <c r="C170" s="22"/>
      <c r="D170" s="23"/>
      <c r="E170" s="22"/>
      <c r="F170" s="22"/>
      <c r="G170" s="22"/>
      <c r="H170" s="23"/>
      <c r="I170" s="22"/>
      <c r="J170" s="22"/>
      <c r="K170" s="22"/>
      <c r="L170" s="23"/>
      <c r="M170" s="71"/>
      <c r="N170" s="71"/>
      <c r="O170" s="22"/>
      <c r="P170" s="22"/>
      <c r="Q170" s="22"/>
      <c r="R170" s="71"/>
      <c r="AC170" s="22"/>
      <c r="AD170" s="22"/>
      <c r="AE170" s="22"/>
      <c r="AF170" s="22"/>
      <c r="AG170" s="22"/>
      <c r="AH170" s="22"/>
      <c r="AI170" s="22"/>
      <c r="AJ170" s="22"/>
      <c r="AK170" s="22"/>
      <c r="AL170" s="22"/>
      <c r="AM170" s="22"/>
      <c r="AN170" s="22"/>
      <c r="AO170" s="22"/>
      <c r="AP170" s="22"/>
      <c r="AQ170" s="22"/>
      <c r="AR170" s="22"/>
      <c r="AS170" s="22"/>
    </row>
    <row r="171" spans="1:45" x14ac:dyDescent="0.3">
      <c r="A171" s="22"/>
      <c r="B171" s="71"/>
      <c r="C171" s="22"/>
      <c r="D171" s="23"/>
      <c r="E171" s="22"/>
      <c r="F171" s="22"/>
      <c r="G171" s="22"/>
      <c r="H171" s="23"/>
      <c r="I171" s="22"/>
      <c r="J171" s="22"/>
      <c r="K171" s="22"/>
      <c r="L171" s="23"/>
      <c r="M171" s="71"/>
      <c r="N171" s="71"/>
      <c r="O171" s="22"/>
      <c r="P171" s="22"/>
      <c r="Q171" s="22"/>
      <c r="R171" s="71"/>
      <c r="AC171" s="22"/>
      <c r="AD171" s="22"/>
      <c r="AE171" s="22"/>
      <c r="AF171" s="22"/>
      <c r="AG171" s="22"/>
      <c r="AH171" s="22"/>
      <c r="AI171" s="22"/>
      <c r="AJ171" s="22"/>
      <c r="AK171" s="22"/>
      <c r="AL171" s="22"/>
      <c r="AM171" s="22"/>
      <c r="AN171" s="22"/>
      <c r="AO171" s="22"/>
      <c r="AP171" s="22"/>
      <c r="AQ171" s="22"/>
      <c r="AR171" s="22"/>
      <c r="AS171" s="22"/>
    </row>
    <row r="172" spans="1:45" x14ac:dyDescent="0.3">
      <c r="A172" s="22"/>
      <c r="B172" s="71"/>
      <c r="C172" s="22"/>
      <c r="D172" s="23"/>
      <c r="E172" s="22"/>
      <c r="F172" s="22"/>
      <c r="G172" s="22"/>
      <c r="H172" s="23"/>
      <c r="I172" s="22"/>
      <c r="J172" s="22"/>
      <c r="K172" s="22"/>
      <c r="L172" s="23"/>
      <c r="M172" s="71"/>
      <c r="N172" s="71"/>
      <c r="O172" s="22"/>
      <c r="P172" s="22"/>
      <c r="Q172" s="22"/>
      <c r="R172" s="71"/>
      <c r="AC172" s="22"/>
      <c r="AD172" s="22"/>
      <c r="AE172" s="22"/>
      <c r="AF172" s="22"/>
      <c r="AG172" s="22"/>
      <c r="AH172" s="22"/>
      <c r="AI172" s="22"/>
      <c r="AJ172" s="22"/>
      <c r="AK172" s="22"/>
      <c r="AL172" s="22"/>
      <c r="AM172" s="22"/>
      <c r="AN172" s="22"/>
      <c r="AO172" s="22"/>
      <c r="AP172" s="22"/>
      <c r="AQ172" s="22"/>
      <c r="AR172" s="22"/>
      <c r="AS172" s="22"/>
    </row>
    <row r="173" spans="1:45" x14ac:dyDescent="0.3">
      <c r="A173" s="22"/>
      <c r="B173" s="71"/>
      <c r="C173" s="22"/>
      <c r="D173" s="23"/>
      <c r="E173" s="22"/>
      <c r="F173" s="22"/>
      <c r="G173" s="22"/>
      <c r="H173" s="23"/>
      <c r="I173" s="22"/>
      <c r="J173" s="22"/>
      <c r="K173" s="22"/>
      <c r="L173" s="23"/>
      <c r="M173" s="71"/>
      <c r="N173" s="71"/>
      <c r="O173" s="22"/>
      <c r="P173" s="22"/>
      <c r="Q173" s="22"/>
      <c r="R173" s="71"/>
      <c r="AC173" s="22"/>
      <c r="AD173" s="22"/>
      <c r="AE173" s="22"/>
      <c r="AF173" s="22"/>
      <c r="AG173" s="22"/>
      <c r="AH173" s="22"/>
      <c r="AI173" s="22"/>
      <c r="AJ173" s="22"/>
      <c r="AK173" s="22"/>
      <c r="AL173" s="22"/>
      <c r="AM173" s="22"/>
      <c r="AN173" s="22"/>
      <c r="AO173" s="22"/>
      <c r="AP173" s="22"/>
      <c r="AQ173" s="22"/>
      <c r="AR173" s="22"/>
      <c r="AS173" s="22"/>
    </row>
    <row r="174" spans="1:45" x14ac:dyDescent="0.3">
      <c r="A174" s="22"/>
      <c r="B174" s="71"/>
      <c r="C174" s="22"/>
      <c r="D174" s="23"/>
      <c r="E174" s="22"/>
      <c r="F174" s="22"/>
      <c r="G174" s="22"/>
      <c r="H174" s="23"/>
      <c r="I174" s="22"/>
      <c r="J174" s="22"/>
      <c r="K174" s="22"/>
      <c r="L174" s="23"/>
      <c r="M174" s="71"/>
      <c r="N174" s="71"/>
      <c r="O174" s="22"/>
      <c r="P174" s="22"/>
      <c r="Q174" s="22"/>
      <c r="R174" s="71"/>
      <c r="AC174" s="22"/>
      <c r="AD174" s="22"/>
      <c r="AE174" s="22"/>
      <c r="AF174" s="22"/>
      <c r="AG174" s="22"/>
      <c r="AH174" s="22"/>
      <c r="AI174" s="22"/>
      <c r="AJ174" s="22"/>
      <c r="AK174" s="22"/>
      <c r="AL174" s="22"/>
      <c r="AM174" s="22"/>
      <c r="AN174" s="22"/>
      <c r="AO174" s="22"/>
      <c r="AP174" s="22"/>
      <c r="AQ174" s="22"/>
      <c r="AR174" s="22"/>
      <c r="AS174" s="22"/>
    </row>
    <row r="175" spans="1:45" x14ac:dyDescent="0.3">
      <c r="A175" s="22"/>
      <c r="B175" s="71"/>
      <c r="C175" s="22"/>
      <c r="D175" s="23"/>
      <c r="E175" s="22"/>
      <c r="F175" s="22"/>
      <c r="G175" s="22"/>
      <c r="H175" s="23"/>
      <c r="I175" s="22"/>
      <c r="J175" s="22"/>
      <c r="K175" s="22"/>
      <c r="L175" s="23"/>
      <c r="M175" s="71"/>
      <c r="N175" s="71"/>
      <c r="O175" s="22"/>
      <c r="P175" s="22"/>
      <c r="Q175" s="22"/>
      <c r="R175" s="71"/>
      <c r="AC175" s="22"/>
      <c r="AD175" s="22"/>
      <c r="AE175" s="22"/>
      <c r="AF175" s="22"/>
      <c r="AG175" s="22"/>
      <c r="AH175" s="22"/>
      <c r="AI175" s="22"/>
      <c r="AJ175" s="22"/>
      <c r="AK175" s="22"/>
      <c r="AL175" s="22"/>
      <c r="AM175" s="22"/>
      <c r="AN175" s="22"/>
      <c r="AO175" s="22"/>
      <c r="AP175" s="22"/>
      <c r="AQ175" s="22"/>
      <c r="AR175" s="22"/>
      <c r="AS175" s="22"/>
    </row>
    <row r="176" spans="1:45" x14ac:dyDescent="0.3">
      <c r="A176" s="22"/>
      <c r="B176" s="71"/>
      <c r="C176" s="22"/>
      <c r="D176" s="23"/>
      <c r="E176" s="22"/>
      <c r="F176" s="22"/>
      <c r="G176" s="22"/>
      <c r="H176" s="23"/>
      <c r="I176" s="22"/>
      <c r="J176" s="22"/>
      <c r="K176" s="22"/>
      <c r="L176" s="23"/>
      <c r="M176" s="71"/>
      <c r="N176" s="71"/>
      <c r="O176" s="22"/>
      <c r="P176" s="22"/>
      <c r="Q176" s="22"/>
      <c r="R176" s="71"/>
      <c r="AC176" s="22"/>
      <c r="AD176" s="22"/>
      <c r="AE176" s="22"/>
      <c r="AF176" s="22"/>
      <c r="AG176" s="22"/>
      <c r="AH176" s="22"/>
      <c r="AI176" s="22"/>
      <c r="AJ176" s="22"/>
      <c r="AK176" s="22"/>
      <c r="AL176" s="22"/>
      <c r="AM176" s="22"/>
      <c r="AN176" s="22"/>
      <c r="AO176" s="22"/>
      <c r="AP176" s="22"/>
      <c r="AQ176" s="22"/>
      <c r="AR176" s="22"/>
      <c r="AS176" s="22"/>
    </row>
    <row r="177" spans="1:45" x14ac:dyDescent="0.3">
      <c r="A177" s="22"/>
      <c r="B177" s="71"/>
      <c r="C177" s="22"/>
      <c r="D177" s="23"/>
      <c r="E177" s="22"/>
      <c r="F177" s="22"/>
      <c r="G177" s="22"/>
      <c r="H177" s="23"/>
      <c r="I177" s="22"/>
      <c r="J177" s="22"/>
      <c r="K177" s="22"/>
      <c r="L177" s="23"/>
      <c r="M177" s="71"/>
      <c r="N177" s="71"/>
      <c r="O177" s="22"/>
      <c r="P177" s="22"/>
      <c r="Q177" s="22"/>
      <c r="R177" s="71"/>
      <c r="AC177" s="22"/>
      <c r="AD177" s="22"/>
      <c r="AE177" s="22"/>
      <c r="AF177" s="22"/>
      <c r="AG177" s="22"/>
      <c r="AH177" s="22"/>
      <c r="AI177" s="22"/>
      <c r="AJ177" s="22"/>
      <c r="AK177" s="22"/>
      <c r="AL177" s="22"/>
      <c r="AM177" s="22"/>
      <c r="AN177" s="22"/>
      <c r="AO177" s="22"/>
      <c r="AP177" s="22"/>
      <c r="AQ177" s="22"/>
      <c r="AR177" s="22"/>
      <c r="AS177" s="22"/>
    </row>
    <row r="178" spans="1:45" x14ac:dyDescent="0.3">
      <c r="A178" s="22"/>
      <c r="B178" s="71"/>
      <c r="C178" s="22"/>
      <c r="D178" s="23"/>
      <c r="E178" s="22"/>
      <c r="F178" s="22"/>
      <c r="G178" s="22"/>
      <c r="H178" s="23"/>
      <c r="I178" s="22"/>
      <c r="J178" s="22"/>
      <c r="K178" s="22"/>
      <c r="L178" s="23"/>
      <c r="M178" s="71"/>
      <c r="N178" s="71"/>
      <c r="O178" s="22"/>
      <c r="P178" s="22"/>
      <c r="Q178" s="22"/>
      <c r="R178" s="71"/>
      <c r="AC178" s="22"/>
      <c r="AD178" s="22"/>
      <c r="AE178" s="22"/>
      <c r="AF178" s="22"/>
      <c r="AG178" s="22"/>
      <c r="AH178" s="22"/>
      <c r="AI178" s="22"/>
      <c r="AJ178" s="22"/>
      <c r="AK178" s="22"/>
      <c r="AL178" s="22"/>
      <c r="AM178" s="22"/>
      <c r="AN178" s="22"/>
      <c r="AO178" s="22"/>
      <c r="AP178" s="22"/>
      <c r="AQ178" s="22"/>
      <c r="AR178" s="22"/>
      <c r="AS178" s="22"/>
    </row>
    <row r="179" spans="1:45" x14ac:dyDescent="0.3">
      <c r="A179" s="22"/>
      <c r="B179" s="71"/>
      <c r="C179" s="22"/>
      <c r="D179" s="23"/>
      <c r="E179" s="22"/>
      <c r="F179" s="22"/>
      <c r="G179" s="22"/>
      <c r="H179" s="23"/>
      <c r="I179" s="22"/>
      <c r="J179" s="22"/>
      <c r="K179" s="22"/>
      <c r="L179" s="23"/>
      <c r="M179" s="71"/>
      <c r="N179" s="71"/>
      <c r="O179" s="22"/>
      <c r="P179" s="22"/>
      <c r="Q179" s="22"/>
      <c r="R179" s="71"/>
      <c r="AC179" s="22"/>
      <c r="AD179" s="22"/>
      <c r="AE179" s="22"/>
      <c r="AF179" s="22"/>
      <c r="AG179" s="22"/>
      <c r="AH179" s="22"/>
      <c r="AI179" s="22"/>
      <c r="AJ179" s="22"/>
      <c r="AK179" s="22"/>
      <c r="AL179" s="22"/>
      <c r="AM179" s="22"/>
      <c r="AN179" s="22"/>
      <c r="AO179" s="22"/>
      <c r="AP179" s="22"/>
      <c r="AQ179" s="22"/>
      <c r="AR179" s="22"/>
      <c r="AS179" s="22"/>
    </row>
    <row r="180" spans="1:45" x14ac:dyDescent="0.3">
      <c r="A180" s="22"/>
      <c r="B180" s="71"/>
      <c r="C180" s="22"/>
      <c r="D180" s="23"/>
      <c r="E180" s="22"/>
      <c r="F180" s="22"/>
      <c r="G180" s="22"/>
      <c r="H180" s="23"/>
      <c r="I180" s="22"/>
      <c r="J180" s="22"/>
      <c r="K180" s="22"/>
      <c r="L180" s="23"/>
      <c r="M180" s="71"/>
      <c r="N180" s="71"/>
      <c r="O180" s="22"/>
      <c r="P180" s="22"/>
      <c r="Q180" s="22"/>
      <c r="R180" s="71"/>
      <c r="AC180" s="22"/>
      <c r="AD180" s="22"/>
      <c r="AE180" s="22"/>
      <c r="AF180" s="22"/>
      <c r="AG180" s="22"/>
      <c r="AH180" s="22"/>
      <c r="AI180" s="22"/>
      <c r="AJ180" s="22"/>
      <c r="AK180" s="22"/>
      <c r="AL180" s="22"/>
      <c r="AM180" s="22"/>
      <c r="AN180" s="22"/>
      <c r="AO180" s="22"/>
      <c r="AP180" s="22"/>
      <c r="AQ180" s="22"/>
      <c r="AR180" s="22"/>
      <c r="AS180" s="22"/>
    </row>
    <row r="181" spans="1:45" x14ac:dyDescent="0.3">
      <c r="A181" s="22"/>
      <c r="B181" s="71"/>
      <c r="C181" s="22"/>
      <c r="D181" s="23"/>
      <c r="E181" s="22"/>
      <c r="F181" s="22"/>
      <c r="G181" s="22"/>
      <c r="H181" s="23"/>
      <c r="I181" s="22"/>
      <c r="J181" s="22"/>
      <c r="K181" s="22"/>
      <c r="L181" s="23"/>
      <c r="M181" s="71"/>
      <c r="N181" s="71"/>
      <c r="O181" s="22"/>
      <c r="P181" s="22"/>
      <c r="Q181" s="22"/>
      <c r="R181" s="71"/>
      <c r="AC181" s="22"/>
      <c r="AD181" s="22"/>
      <c r="AE181" s="22"/>
      <c r="AF181" s="22"/>
      <c r="AG181" s="22"/>
      <c r="AH181" s="22"/>
      <c r="AI181" s="22"/>
      <c r="AJ181" s="22"/>
      <c r="AK181" s="22"/>
      <c r="AL181" s="22"/>
      <c r="AM181" s="22"/>
      <c r="AN181" s="22"/>
      <c r="AO181" s="22"/>
      <c r="AP181" s="22"/>
      <c r="AQ181" s="22"/>
      <c r="AR181" s="22"/>
      <c r="AS181" s="22"/>
    </row>
    <row r="182" spans="1:45" x14ac:dyDescent="0.3">
      <c r="A182" s="22"/>
      <c r="B182" s="71"/>
      <c r="C182" s="22"/>
      <c r="D182" s="23"/>
      <c r="E182" s="22"/>
      <c r="F182" s="22"/>
      <c r="G182" s="22"/>
      <c r="H182" s="23"/>
      <c r="I182" s="22"/>
      <c r="J182" s="22"/>
      <c r="K182" s="22"/>
      <c r="L182" s="23"/>
      <c r="M182" s="71"/>
      <c r="N182" s="71"/>
      <c r="O182" s="22"/>
      <c r="P182" s="22"/>
      <c r="Q182" s="22"/>
      <c r="R182" s="71"/>
      <c r="AC182" s="22"/>
      <c r="AD182" s="22"/>
      <c r="AE182" s="22"/>
      <c r="AF182" s="22"/>
      <c r="AG182" s="22"/>
      <c r="AH182" s="22"/>
      <c r="AI182" s="22"/>
      <c r="AJ182" s="22"/>
      <c r="AK182" s="22"/>
      <c r="AL182" s="22"/>
      <c r="AM182" s="22"/>
      <c r="AN182" s="22"/>
      <c r="AO182" s="22"/>
      <c r="AP182" s="22"/>
      <c r="AQ182" s="22"/>
      <c r="AR182" s="22"/>
      <c r="AS182" s="22"/>
    </row>
    <row r="183" spans="1:45" x14ac:dyDescent="0.3">
      <c r="A183" s="22"/>
      <c r="B183" s="71"/>
      <c r="C183" s="22"/>
      <c r="D183" s="23"/>
      <c r="E183" s="22"/>
      <c r="F183" s="22"/>
      <c r="G183" s="22"/>
      <c r="H183" s="23"/>
      <c r="I183" s="22"/>
      <c r="J183" s="22"/>
      <c r="K183" s="22"/>
      <c r="L183" s="23"/>
      <c r="M183" s="71"/>
      <c r="N183" s="71"/>
      <c r="O183" s="22"/>
      <c r="P183" s="22"/>
      <c r="Q183" s="22"/>
      <c r="R183" s="71"/>
      <c r="AC183" s="22"/>
      <c r="AD183" s="22"/>
      <c r="AE183" s="22"/>
      <c r="AF183" s="22"/>
      <c r="AG183" s="22"/>
      <c r="AH183" s="22"/>
      <c r="AI183" s="22"/>
      <c r="AJ183" s="22"/>
      <c r="AK183" s="22"/>
      <c r="AL183" s="22"/>
      <c r="AM183" s="22"/>
      <c r="AN183" s="22"/>
      <c r="AO183" s="22"/>
      <c r="AP183" s="22"/>
      <c r="AQ183" s="22"/>
      <c r="AR183" s="22"/>
      <c r="AS183" s="22"/>
    </row>
    <row r="184" spans="1:45" x14ac:dyDescent="0.3">
      <c r="A184" s="22"/>
      <c r="B184" s="71"/>
      <c r="C184" s="22"/>
      <c r="D184" s="23"/>
      <c r="E184" s="22"/>
      <c r="F184" s="22"/>
      <c r="G184" s="22"/>
      <c r="H184" s="23"/>
      <c r="I184" s="22"/>
      <c r="J184" s="22"/>
      <c r="K184" s="22"/>
      <c r="L184" s="23"/>
      <c r="M184" s="71"/>
      <c r="N184" s="71"/>
      <c r="O184" s="22"/>
      <c r="P184" s="22"/>
      <c r="Q184" s="22"/>
      <c r="R184" s="71"/>
      <c r="AC184" s="22"/>
      <c r="AD184" s="22"/>
      <c r="AE184" s="22"/>
      <c r="AF184" s="22"/>
      <c r="AG184" s="22"/>
      <c r="AH184" s="22"/>
      <c r="AI184" s="22"/>
      <c r="AJ184" s="22"/>
      <c r="AK184" s="22"/>
      <c r="AL184" s="22"/>
      <c r="AM184" s="22"/>
      <c r="AN184" s="22"/>
      <c r="AO184" s="22"/>
      <c r="AP184" s="22"/>
      <c r="AQ184" s="22"/>
      <c r="AR184" s="22"/>
      <c r="AS184" s="22"/>
    </row>
    <row r="185" spans="1:45" x14ac:dyDescent="0.3">
      <c r="A185" s="22"/>
      <c r="B185" s="71"/>
      <c r="C185" s="22"/>
      <c r="D185" s="23"/>
      <c r="E185" s="22"/>
      <c r="F185" s="22"/>
      <c r="G185" s="22"/>
      <c r="H185" s="23"/>
      <c r="I185" s="22"/>
      <c r="J185" s="22"/>
      <c r="K185" s="22"/>
      <c r="L185" s="23"/>
      <c r="M185" s="71"/>
      <c r="N185" s="71"/>
      <c r="O185" s="22"/>
      <c r="P185" s="22"/>
      <c r="Q185" s="22"/>
      <c r="R185" s="71"/>
      <c r="AC185" s="22"/>
      <c r="AD185" s="22"/>
      <c r="AE185" s="22"/>
      <c r="AF185" s="22"/>
      <c r="AG185" s="22"/>
      <c r="AH185" s="22"/>
      <c r="AI185" s="22"/>
      <c r="AJ185" s="22"/>
      <c r="AK185" s="22"/>
      <c r="AL185" s="22"/>
      <c r="AM185" s="22"/>
      <c r="AN185" s="22"/>
      <c r="AO185" s="22"/>
      <c r="AP185" s="22"/>
      <c r="AQ185" s="22"/>
      <c r="AR185" s="22"/>
      <c r="AS185" s="22"/>
    </row>
    <row r="186" spans="1:45" x14ac:dyDescent="0.3">
      <c r="A186" s="22"/>
      <c r="B186" s="71"/>
      <c r="C186" s="22"/>
      <c r="D186" s="23"/>
      <c r="E186" s="22"/>
      <c r="F186" s="22"/>
      <c r="G186" s="22"/>
      <c r="H186" s="23"/>
      <c r="I186" s="22"/>
      <c r="J186" s="22"/>
      <c r="K186" s="22"/>
      <c r="L186" s="23"/>
      <c r="M186" s="71"/>
      <c r="N186" s="71"/>
      <c r="O186" s="22"/>
      <c r="P186" s="22"/>
      <c r="Q186" s="22"/>
      <c r="R186" s="71"/>
      <c r="AC186" s="22"/>
      <c r="AD186" s="22"/>
      <c r="AE186" s="22"/>
      <c r="AF186" s="22"/>
      <c r="AG186" s="22"/>
      <c r="AH186" s="22"/>
      <c r="AI186" s="22"/>
      <c r="AJ186" s="22"/>
      <c r="AK186" s="22"/>
      <c r="AL186" s="22"/>
      <c r="AM186" s="22"/>
      <c r="AN186" s="22"/>
      <c r="AO186" s="22"/>
      <c r="AP186" s="22"/>
      <c r="AQ186" s="22"/>
      <c r="AR186" s="22"/>
      <c r="AS186" s="22"/>
    </row>
    <row r="187" spans="1:45" x14ac:dyDescent="0.3">
      <c r="A187" s="22"/>
      <c r="B187" s="71"/>
      <c r="C187" s="22"/>
      <c r="D187" s="23"/>
      <c r="E187" s="22"/>
      <c r="F187" s="22"/>
      <c r="G187" s="22"/>
      <c r="H187" s="23"/>
      <c r="I187" s="22"/>
      <c r="J187" s="22"/>
      <c r="K187" s="22"/>
      <c r="L187" s="23"/>
      <c r="M187" s="71"/>
      <c r="N187" s="71"/>
      <c r="O187" s="22"/>
      <c r="P187" s="22"/>
      <c r="Q187" s="22"/>
      <c r="R187" s="71"/>
      <c r="AC187" s="22"/>
      <c r="AD187" s="22"/>
      <c r="AE187" s="22"/>
      <c r="AF187" s="22"/>
      <c r="AG187" s="22"/>
      <c r="AH187" s="22"/>
      <c r="AI187" s="22"/>
      <c r="AJ187" s="22"/>
      <c r="AK187" s="22"/>
      <c r="AL187" s="22"/>
      <c r="AM187" s="22"/>
      <c r="AN187" s="22"/>
      <c r="AO187" s="22"/>
      <c r="AP187" s="22"/>
      <c r="AQ187" s="22"/>
      <c r="AR187" s="22"/>
      <c r="AS187" s="22"/>
    </row>
    <row r="188" spans="1:45" x14ac:dyDescent="0.3">
      <c r="A188" s="22"/>
      <c r="B188" s="71"/>
      <c r="C188" s="22"/>
      <c r="D188" s="23"/>
      <c r="E188" s="22"/>
      <c r="F188" s="22"/>
      <c r="G188" s="22"/>
      <c r="H188" s="23"/>
      <c r="I188" s="22"/>
      <c r="J188" s="22"/>
      <c r="K188" s="22"/>
      <c r="L188" s="23"/>
      <c r="M188" s="71"/>
      <c r="N188" s="71"/>
      <c r="O188" s="22"/>
      <c r="P188" s="22"/>
      <c r="Q188" s="22"/>
      <c r="R188" s="71"/>
      <c r="AC188" s="22"/>
      <c r="AD188" s="22"/>
      <c r="AE188" s="22"/>
      <c r="AF188" s="22"/>
      <c r="AG188" s="22"/>
      <c r="AH188" s="22"/>
      <c r="AI188" s="22"/>
      <c r="AJ188" s="22"/>
      <c r="AK188" s="22"/>
      <c r="AL188" s="22"/>
      <c r="AM188" s="22"/>
      <c r="AN188" s="22"/>
      <c r="AO188" s="22"/>
      <c r="AP188" s="22"/>
      <c r="AQ188" s="22"/>
      <c r="AR188" s="22"/>
      <c r="AS188" s="22"/>
    </row>
    <row r="189" spans="1:45" x14ac:dyDescent="0.3">
      <c r="A189" s="22"/>
      <c r="B189" s="71"/>
      <c r="C189" s="22"/>
      <c r="D189" s="23"/>
      <c r="E189" s="22"/>
      <c r="F189" s="22"/>
      <c r="G189" s="22"/>
      <c r="H189" s="23"/>
      <c r="I189" s="22"/>
      <c r="J189" s="22"/>
      <c r="K189" s="22"/>
      <c r="L189" s="23"/>
      <c r="M189" s="71"/>
      <c r="N189" s="71"/>
      <c r="O189" s="22"/>
      <c r="P189" s="22"/>
      <c r="Q189" s="22"/>
      <c r="R189" s="71"/>
      <c r="AC189" s="22"/>
      <c r="AD189" s="22"/>
      <c r="AE189" s="22"/>
      <c r="AF189" s="22"/>
      <c r="AG189" s="22"/>
      <c r="AH189" s="22"/>
      <c r="AI189" s="22"/>
      <c r="AJ189" s="22"/>
      <c r="AK189" s="22"/>
      <c r="AL189" s="22"/>
      <c r="AM189" s="22"/>
      <c r="AN189" s="22"/>
      <c r="AO189" s="22"/>
      <c r="AP189" s="22"/>
      <c r="AQ189" s="22"/>
      <c r="AR189" s="22"/>
      <c r="AS189" s="22"/>
    </row>
    <row r="190" spans="1:45" x14ac:dyDescent="0.3">
      <c r="A190" s="22"/>
      <c r="B190" s="71"/>
      <c r="C190" s="22"/>
      <c r="D190" s="23"/>
      <c r="E190" s="22"/>
      <c r="F190" s="22"/>
      <c r="G190" s="22"/>
      <c r="H190" s="23"/>
      <c r="I190" s="22"/>
      <c r="J190" s="22"/>
      <c r="K190" s="22"/>
      <c r="L190" s="23"/>
      <c r="M190" s="71"/>
      <c r="N190" s="71"/>
      <c r="O190" s="22"/>
      <c r="P190" s="22"/>
      <c r="Q190" s="22"/>
      <c r="R190" s="71"/>
      <c r="AC190" s="22"/>
      <c r="AD190" s="22"/>
      <c r="AE190" s="22"/>
      <c r="AF190" s="22"/>
      <c r="AG190" s="22"/>
      <c r="AH190" s="22"/>
      <c r="AI190" s="22"/>
      <c r="AJ190" s="22"/>
      <c r="AK190" s="22"/>
      <c r="AL190" s="22"/>
      <c r="AM190" s="22"/>
      <c r="AN190" s="22"/>
      <c r="AO190" s="22"/>
      <c r="AP190" s="22"/>
      <c r="AQ190" s="22"/>
      <c r="AR190" s="22"/>
      <c r="AS190" s="22"/>
    </row>
    <row r="191" spans="1:45" x14ac:dyDescent="0.3">
      <c r="A191" s="22"/>
      <c r="B191" s="71"/>
      <c r="C191" s="22"/>
      <c r="D191" s="23"/>
      <c r="E191" s="22"/>
      <c r="F191" s="22"/>
      <c r="G191" s="22"/>
      <c r="H191" s="23"/>
      <c r="I191" s="22"/>
      <c r="J191" s="22"/>
      <c r="K191" s="22"/>
      <c r="L191" s="23"/>
      <c r="M191" s="71"/>
      <c r="N191" s="71"/>
      <c r="O191" s="22"/>
      <c r="P191" s="22"/>
      <c r="Q191" s="22"/>
      <c r="R191" s="71"/>
      <c r="AC191" s="22"/>
      <c r="AD191" s="22"/>
      <c r="AE191" s="22"/>
      <c r="AF191" s="22"/>
      <c r="AG191" s="22"/>
      <c r="AH191" s="22"/>
      <c r="AI191" s="22"/>
      <c r="AJ191" s="22"/>
      <c r="AK191" s="22"/>
      <c r="AL191" s="22"/>
      <c r="AM191" s="22"/>
      <c r="AN191" s="22"/>
      <c r="AO191" s="22"/>
      <c r="AP191" s="22"/>
      <c r="AQ191" s="22"/>
      <c r="AR191" s="22"/>
      <c r="AS191" s="22"/>
    </row>
    <row r="192" spans="1:45" x14ac:dyDescent="0.3">
      <c r="A192" s="22"/>
      <c r="B192" s="71"/>
      <c r="C192" s="22"/>
      <c r="D192" s="23"/>
      <c r="E192" s="22"/>
      <c r="F192" s="22"/>
      <c r="G192" s="22"/>
      <c r="H192" s="23"/>
      <c r="I192" s="22"/>
      <c r="J192" s="22"/>
      <c r="K192" s="22"/>
      <c r="L192" s="23"/>
      <c r="M192" s="71"/>
      <c r="N192" s="71"/>
      <c r="O192" s="22"/>
      <c r="P192" s="22"/>
      <c r="Q192" s="22"/>
      <c r="R192" s="71"/>
      <c r="AC192" s="22"/>
      <c r="AD192" s="22"/>
      <c r="AE192" s="22"/>
      <c r="AF192" s="22"/>
      <c r="AG192" s="22"/>
      <c r="AH192" s="22"/>
      <c r="AI192" s="22"/>
      <c r="AJ192" s="22"/>
      <c r="AK192" s="22"/>
      <c r="AL192" s="22"/>
      <c r="AM192" s="22"/>
      <c r="AN192" s="22"/>
      <c r="AO192" s="22"/>
      <c r="AP192" s="22"/>
      <c r="AQ192" s="22"/>
      <c r="AR192" s="22"/>
      <c r="AS192" s="22"/>
    </row>
    <row r="193" spans="1:45" x14ac:dyDescent="0.3">
      <c r="A193" s="22"/>
      <c r="B193" s="71"/>
      <c r="C193" s="22"/>
      <c r="D193" s="23"/>
      <c r="E193" s="22"/>
      <c r="F193" s="22"/>
      <c r="G193" s="22"/>
      <c r="H193" s="23"/>
      <c r="I193" s="22"/>
      <c r="J193" s="22"/>
      <c r="K193" s="22"/>
      <c r="L193" s="23"/>
      <c r="M193" s="71"/>
      <c r="N193" s="71"/>
      <c r="O193" s="22"/>
      <c r="P193" s="22"/>
      <c r="Q193" s="22"/>
      <c r="R193" s="71"/>
      <c r="AC193" s="22"/>
      <c r="AD193" s="22"/>
      <c r="AE193" s="22"/>
      <c r="AF193" s="22"/>
      <c r="AG193" s="22"/>
      <c r="AH193" s="22"/>
      <c r="AI193" s="22"/>
      <c r="AJ193" s="22"/>
      <c r="AK193" s="22"/>
      <c r="AL193" s="22"/>
      <c r="AM193" s="22"/>
      <c r="AN193" s="22"/>
      <c r="AO193" s="22"/>
      <c r="AP193" s="22"/>
      <c r="AQ193" s="22"/>
      <c r="AR193" s="22"/>
      <c r="AS193" s="22"/>
    </row>
    <row r="194" spans="1:45" x14ac:dyDescent="0.3">
      <c r="A194" s="22"/>
      <c r="B194" s="71"/>
      <c r="C194" s="22"/>
      <c r="D194" s="23"/>
      <c r="E194" s="22"/>
      <c r="F194" s="22"/>
      <c r="G194" s="22"/>
      <c r="H194" s="23"/>
      <c r="I194" s="22"/>
      <c r="J194" s="22"/>
      <c r="K194" s="22"/>
      <c r="L194" s="23"/>
      <c r="M194" s="71"/>
      <c r="N194" s="71"/>
      <c r="O194" s="22"/>
      <c r="P194" s="22"/>
      <c r="Q194" s="22"/>
      <c r="R194" s="71"/>
      <c r="AC194" s="22"/>
      <c r="AD194" s="22"/>
      <c r="AE194" s="22"/>
      <c r="AF194" s="22"/>
      <c r="AG194" s="22"/>
      <c r="AH194" s="22"/>
      <c r="AI194" s="22"/>
      <c r="AJ194" s="22"/>
      <c r="AK194" s="22"/>
      <c r="AL194" s="22"/>
      <c r="AM194" s="22"/>
      <c r="AN194" s="22"/>
      <c r="AO194" s="22"/>
      <c r="AP194" s="22"/>
      <c r="AQ194" s="22"/>
      <c r="AR194" s="22"/>
      <c r="AS194" s="22"/>
    </row>
    <row r="195" spans="1:45" x14ac:dyDescent="0.3">
      <c r="A195" s="22"/>
      <c r="B195" s="71"/>
      <c r="C195" s="22"/>
      <c r="D195" s="23"/>
      <c r="E195" s="22"/>
      <c r="F195" s="22"/>
      <c r="G195" s="22"/>
      <c r="H195" s="23"/>
      <c r="I195" s="22"/>
      <c r="J195" s="22"/>
      <c r="K195" s="22"/>
      <c r="L195" s="23"/>
      <c r="M195" s="71"/>
      <c r="N195" s="71"/>
      <c r="O195" s="22"/>
      <c r="P195" s="22"/>
      <c r="Q195" s="22"/>
      <c r="R195" s="71"/>
      <c r="AC195" s="22"/>
      <c r="AD195" s="22"/>
      <c r="AE195" s="22"/>
      <c r="AF195" s="22"/>
      <c r="AG195" s="22"/>
      <c r="AH195" s="22"/>
      <c r="AI195" s="22"/>
      <c r="AJ195" s="22"/>
      <c r="AK195" s="22"/>
      <c r="AL195" s="22"/>
      <c r="AM195" s="22"/>
      <c r="AN195" s="22"/>
      <c r="AO195" s="22"/>
      <c r="AP195" s="22"/>
      <c r="AQ195" s="22"/>
      <c r="AR195" s="22"/>
      <c r="AS195" s="22"/>
    </row>
    <row r="196" spans="1:45" x14ac:dyDescent="0.3">
      <c r="A196" s="22"/>
      <c r="B196" s="71"/>
      <c r="C196" s="22"/>
      <c r="D196" s="23"/>
      <c r="E196" s="22"/>
      <c r="F196" s="22"/>
      <c r="G196" s="22"/>
      <c r="H196" s="23"/>
      <c r="I196" s="22"/>
      <c r="J196" s="22"/>
      <c r="K196" s="22"/>
      <c r="L196" s="23"/>
      <c r="M196" s="71"/>
      <c r="N196" s="71"/>
      <c r="O196" s="22"/>
      <c r="P196" s="22"/>
      <c r="Q196" s="22"/>
      <c r="R196" s="71"/>
      <c r="AC196" s="22"/>
      <c r="AD196" s="22"/>
      <c r="AE196" s="22"/>
      <c r="AF196" s="22"/>
      <c r="AG196" s="22"/>
      <c r="AH196" s="22"/>
      <c r="AI196" s="22"/>
      <c r="AJ196" s="22"/>
      <c r="AK196" s="22"/>
      <c r="AL196" s="22"/>
      <c r="AM196" s="22"/>
      <c r="AN196" s="22"/>
      <c r="AO196" s="22"/>
      <c r="AP196" s="22"/>
      <c r="AQ196" s="22"/>
      <c r="AR196" s="22"/>
      <c r="AS196" s="22"/>
    </row>
    <row r="197" spans="1:45" x14ac:dyDescent="0.3">
      <c r="A197" s="22"/>
      <c r="B197" s="71"/>
      <c r="C197" s="22"/>
      <c r="D197" s="23"/>
      <c r="E197" s="22"/>
      <c r="F197" s="22"/>
      <c r="G197" s="22"/>
      <c r="H197" s="23"/>
      <c r="I197" s="22"/>
      <c r="J197" s="22"/>
      <c r="K197" s="22"/>
      <c r="L197" s="23"/>
      <c r="M197" s="71"/>
      <c r="N197" s="71"/>
      <c r="O197" s="22"/>
      <c r="P197" s="22"/>
      <c r="Q197" s="22"/>
      <c r="R197" s="71"/>
      <c r="AC197" s="22"/>
      <c r="AD197" s="22"/>
      <c r="AE197" s="22"/>
      <c r="AF197" s="22"/>
      <c r="AG197" s="22"/>
      <c r="AH197" s="22"/>
      <c r="AI197" s="22"/>
      <c r="AJ197" s="22"/>
      <c r="AK197" s="22"/>
      <c r="AL197" s="22"/>
      <c r="AM197" s="22"/>
      <c r="AN197" s="22"/>
      <c r="AO197" s="22"/>
      <c r="AP197" s="22"/>
      <c r="AQ197" s="22"/>
      <c r="AR197" s="22"/>
      <c r="AS197" s="22"/>
    </row>
    <row r="198" spans="1:45" x14ac:dyDescent="0.3">
      <c r="A198" s="22"/>
      <c r="B198" s="71"/>
      <c r="C198" s="22"/>
      <c r="D198" s="23"/>
      <c r="E198" s="22"/>
      <c r="F198" s="22"/>
      <c r="G198" s="22"/>
      <c r="H198" s="23"/>
      <c r="I198" s="22"/>
      <c r="J198" s="22"/>
      <c r="K198" s="22"/>
      <c r="L198" s="23"/>
      <c r="M198" s="71"/>
      <c r="N198" s="71"/>
      <c r="O198" s="22"/>
      <c r="P198" s="22"/>
      <c r="Q198" s="22"/>
      <c r="R198" s="71"/>
      <c r="AC198" s="22"/>
      <c r="AD198" s="22"/>
      <c r="AE198" s="22"/>
      <c r="AF198" s="22"/>
      <c r="AG198" s="22"/>
      <c r="AH198" s="22"/>
      <c r="AI198" s="22"/>
      <c r="AJ198" s="22"/>
      <c r="AK198" s="22"/>
      <c r="AL198" s="22"/>
      <c r="AM198" s="22"/>
      <c r="AN198" s="22"/>
      <c r="AO198" s="22"/>
      <c r="AP198" s="22"/>
      <c r="AQ198" s="22"/>
      <c r="AR198" s="22"/>
      <c r="AS198" s="22"/>
    </row>
    <row r="199" spans="1:45" x14ac:dyDescent="0.3">
      <c r="A199" s="22"/>
      <c r="B199" s="71"/>
      <c r="C199" s="22"/>
      <c r="D199" s="23"/>
      <c r="E199" s="22"/>
      <c r="F199" s="22"/>
      <c r="G199" s="22"/>
      <c r="H199" s="23"/>
      <c r="I199" s="22"/>
      <c r="J199" s="22"/>
      <c r="K199" s="22"/>
      <c r="L199" s="23"/>
      <c r="M199" s="71"/>
      <c r="N199" s="71"/>
      <c r="O199" s="22"/>
      <c r="P199" s="22"/>
      <c r="Q199" s="22"/>
      <c r="R199" s="71"/>
      <c r="AC199" s="22"/>
      <c r="AD199" s="22"/>
      <c r="AE199" s="22"/>
      <c r="AF199" s="22"/>
      <c r="AG199" s="22"/>
      <c r="AH199" s="22"/>
      <c r="AI199" s="22"/>
      <c r="AJ199" s="22"/>
      <c r="AK199" s="22"/>
      <c r="AL199" s="22"/>
      <c r="AM199" s="22"/>
      <c r="AN199" s="22"/>
      <c r="AO199" s="22"/>
      <c r="AP199" s="22"/>
      <c r="AQ199" s="22"/>
      <c r="AR199" s="22"/>
      <c r="AS199" s="22"/>
    </row>
    <row r="200" spans="1:45" x14ac:dyDescent="0.3">
      <c r="A200" s="22"/>
      <c r="B200" s="71"/>
      <c r="C200" s="22"/>
      <c r="D200" s="23"/>
      <c r="E200" s="22"/>
      <c r="F200" s="22"/>
      <c r="G200" s="22"/>
      <c r="H200" s="23"/>
      <c r="I200" s="22"/>
      <c r="J200" s="22"/>
      <c r="K200" s="22"/>
      <c r="L200" s="23"/>
      <c r="M200" s="71"/>
      <c r="N200" s="71"/>
      <c r="O200" s="22"/>
      <c r="P200" s="22"/>
      <c r="Q200" s="22"/>
      <c r="R200" s="71"/>
      <c r="AC200" s="22"/>
      <c r="AD200" s="22"/>
      <c r="AE200" s="22"/>
      <c r="AF200" s="22"/>
      <c r="AG200" s="22"/>
      <c r="AH200" s="22"/>
      <c r="AI200" s="22"/>
      <c r="AJ200" s="22"/>
      <c r="AK200" s="22"/>
      <c r="AL200" s="22"/>
      <c r="AM200" s="22"/>
      <c r="AN200" s="22"/>
      <c r="AO200" s="22"/>
      <c r="AP200" s="22"/>
      <c r="AQ200" s="22"/>
      <c r="AR200" s="22"/>
      <c r="AS200" s="22"/>
    </row>
    <row r="201" spans="1:45" x14ac:dyDescent="0.3">
      <c r="A201" s="22"/>
      <c r="B201" s="71"/>
      <c r="C201" s="22"/>
      <c r="D201" s="23"/>
      <c r="E201" s="22"/>
      <c r="F201" s="22"/>
      <c r="G201" s="22"/>
      <c r="H201" s="23"/>
      <c r="I201" s="22"/>
      <c r="J201" s="22"/>
      <c r="K201" s="22"/>
      <c r="L201" s="23"/>
      <c r="M201" s="71"/>
      <c r="N201" s="71"/>
      <c r="O201" s="22"/>
      <c r="P201" s="22"/>
      <c r="Q201" s="22"/>
      <c r="R201" s="71"/>
      <c r="AC201" s="22"/>
      <c r="AD201" s="22"/>
      <c r="AE201" s="22"/>
      <c r="AF201" s="22"/>
      <c r="AG201" s="22"/>
      <c r="AH201" s="22"/>
      <c r="AI201" s="22"/>
      <c r="AJ201" s="22"/>
      <c r="AK201" s="22"/>
      <c r="AL201" s="22"/>
      <c r="AM201" s="22"/>
      <c r="AN201" s="22"/>
      <c r="AO201" s="22"/>
      <c r="AP201" s="22"/>
      <c r="AQ201" s="22"/>
      <c r="AR201" s="22"/>
      <c r="AS201" s="22"/>
    </row>
    <row r="202" spans="1:45" x14ac:dyDescent="0.3">
      <c r="A202" s="22"/>
      <c r="B202" s="71"/>
      <c r="C202" s="22"/>
      <c r="D202" s="23"/>
      <c r="E202" s="22"/>
      <c r="F202" s="22"/>
      <c r="G202" s="22"/>
      <c r="H202" s="23"/>
      <c r="I202" s="22"/>
      <c r="J202" s="22"/>
      <c r="K202" s="22"/>
      <c r="L202" s="23"/>
      <c r="M202" s="71"/>
      <c r="N202" s="71"/>
      <c r="O202" s="22"/>
      <c r="P202" s="22"/>
      <c r="Q202" s="22"/>
      <c r="R202" s="71"/>
      <c r="AC202" s="22"/>
      <c r="AD202" s="22"/>
      <c r="AE202" s="22"/>
      <c r="AF202" s="22"/>
      <c r="AG202" s="22"/>
      <c r="AH202" s="22"/>
      <c r="AI202" s="22"/>
      <c r="AJ202" s="22"/>
      <c r="AK202" s="22"/>
      <c r="AL202" s="22"/>
      <c r="AM202" s="22"/>
      <c r="AN202" s="22"/>
      <c r="AO202" s="22"/>
      <c r="AP202" s="22"/>
      <c r="AQ202" s="22"/>
      <c r="AR202" s="22"/>
      <c r="AS202" s="22"/>
    </row>
    <row r="203" spans="1:45" x14ac:dyDescent="0.3">
      <c r="A203" s="22"/>
      <c r="B203" s="71"/>
      <c r="C203" s="22"/>
      <c r="D203" s="23"/>
      <c r="E203" s="22"/>
      <c r="F203" s="22"/>
      <c r="G203" s="22"/>
      <c r="H203" s="23"/>
      <c r="I203" s="22"/>
      <c r="J203" s="22"/>
      <c r="K203" s="22"/>
      <c r="L203" s="23"/>
      <c r="M203" s="71"/>
      <c r="N203" s="71"/>
      <c r="O203" s="22"/>
      <c r="P203" s="22"/>
      <c r="Q203" s="22"/>
      <c r="R203" s="71"/>
      <c r="AC203" s="22"/>
      <c r="AD203" s="22"/>
      <c r="AE203" s="22"/>
      <c r="AF203" s="22"/>
      <c r="AG203" s="22"/>
      <c r="AH203" s="22"/>
      <c r="AI203" s="22"/>
      <c r="AJ203" s="22"/>
      <c r="AK203" s="22"/>
      <c r="AL203" s="22"/>
      <c r="AM203" s="22"/>
      <c r="AN203" s="22"/>
      <c r="AO203" s="22"/>
      <c r="AP203" s="22"/>
      <c r="AQ203" s="22"/>
      <c r="AR203" s="22"/>
      <c r="AS203" s="22"/>
    </row>
    <row r="204" spans="1:45" x14ac:dyDescent="0.3">
      <c r="A204" s="22"/>
      <c r="B204" s="71"/>
      <c r="C204" s="22"/>
      <c r="D204" s="23"/>
      <c r="E204" s="22"/>
      <c r="F204" s="22"/>
      <c r="G204" s="22"/>
      <c r="H204" s="23"/>
      <c r="I204" s="22"/>
      <c r="J204" s="22"/>
      <c r="K204" s="22"/>
      <c r="L204" s="23"/>
      <c r="M204" s="71"/>
      <c r="N204" s="71"/>
      <c r="O204" s="22"/>
      <c r="P204" s="22"/>
      <c r="Q204" s="22"/>
      <c r="R204" s="71"/>
      <c r="AC204" s="22"/>
      <c r="AD204" s="22"/>
      <c r="AE204" s="22"/>
      <c r="AF204" s="22"/>
      <c r="AG204" s="22"/>
      <c r="AH204" s="22"/>
      <c r="AI204" s="22"/>
      <c r="AJ204" s="22"/>
      <c r="AK204" s="22"/>
      <c r="AL204" s="22"/>
      <c r="AM204" s="22"/>
      <c r="AN204" s="22"/>
      <c r="AO204" s="22"/>
      <c r="AP204" s="22"/>
      <c r="AQ204" s="22"/>
      <c r="AR204" s="22"/>
      <c r="AS204" s="22"/>
    </row>
    <row r="205" spans="1:45" x14ac:dyDescent="0.3">
      <c r="A205" s="22"/>
      <c r="B205" s="71"/>
      <c r="C205" s="22"/>
      <c r="D205" s="23"/>
      <c r="E205" s="22"/>
      <c r="F205" s="22"/>
      <c r="G205" s="22"/>
      <c r="H205" s="23"/>
      <c r="I205" s="22"/>
      <c r="J205" s="22"/>
      <c r="K205" s="22"/>
      <c r="L205" s="23"/>
      <c r="M205" s="71"/>
      <c r="N205" s="71"/>
      <c r="O205" s="22"/>
      <c r="P205" s="22"/>
      <c r="Q205" s="22"/>
      <c r="R205" s="71"/>
      <c r="AC205" s="22"/>
      <c r="AD205" s="22"/>
      <c r="AE205" s="22"/>
      <c r="AF205" s="22"/>
      <c r="AG205" s="22"/>
      <c r="AH205" s="22"/>
      <c r="AI205" s="22"/>
      <c r="AJ205" s="22"/>
      <c r="AK205" s="22"/>
      <c r="AL205" s="22"/>
      <c r="AM205" s="22"/>
      <c r="AN205" s="22"/>
      <c r="AO205" s="22"/>
      <c r="AP205" s="22"/>
      <c r="AQ205" s="22"/>
      <c r="AR205" s="22"/>
      <c r="AS205" s="22"/>
    </row>
    <row r="206" spans="1:45" x14ac:dyDescent="0.3">
      <c r="A206" s="22"/>
      <c r="B206" s="71"/>
      <c r="C206" s="22"/>
      <c r="D206" s="23"/>
      <c r="E206" s="22"/>
      <c r="F206" s="22"/>
      <c r="G206" s="22"/>
      <c r="H206" s="23"/>
      <c r="I206" s="22"/>
      <c r="J206" s="22"/>
      <c r="K206" s="22"/>
      <c r="L206" s="23"/>
      <c r="M206" s="71"/>
      <c r="N206" s="71"/>
      <c r="O206" s="22"/>
      <c r="P206" s="22"/>
      <c r="Q206" s="22"/>
      <c r="R206" s="71"/>
      <c r="AC206" s="22"/>
      <c r="AD206" s="22"/>
      <c r="AE206" s="22"/>
      <c r="AF206" s="22"/>
      <c r="AG206" s="22"/>
      <c r="AH206" s="22"/>
      <c r="AI206" s="22"/>
      <c r="AJ206" s="22"/>
      <c r="AK206" s="22"/>
      <c r="AL206" s="22"/>
      <c r="AM206" s="22"/>
      <c r="AN206" s="22"/>
      <c r="AO206" s="22"/>
      <c r="AP206" s="22"/>
      <c r="AQ206" s="22"/>
      <c r="AR206" s="22"/>
      <c r="AS206" s="22"/>
    </row>
    <row r="207" spans="1:45" x14ac:dyDescent="0.3">
      <c r="A207" s="22"/>
      <c r="B207" s="71"/>
      <c r="C207" s="22"/>
      <c r="D207" s="23"/>
      <c r="E207" s="22"/>
      <c r="F207" s="22"/>
      <c r="G207" s="22"/>
      <c r="H207" s="23"/>
      <c r="I207" s="22"/>
      <c r="J207" s="22"/>
      <c r="K207" s="22"/>
      <c r="L207" s="23"/>
      <c r="M207" s="71"/>
      <c r="N207" s="71"/>
      <c r="O207" s="22"/>
      <c r="P207" s="22"/>
      <c r="Q207" s="22"/>
      <c r="R207" s="71"/>
      <c r="AC207" s="22"/>
      <c r="AD207" s="22"/>
      <c r="AE207" s="22"/>
      <c r="AF207" s="22"/>
      <c r="AG207" s="22"/>
      <c r="AH207" s="22"/>
      <c r="AI207" s="22"/>
      <c r="AJ207" s="22"/>
      <c r="AK207" s="22"/>
      <c r="AL207" s="22"/>
      <c r="AM207" s="22"/>
      <c r="AN207" s="22"/>
      <c r="AO207" s="22"/>
      <c r="AP207" s="22"/>
      <c r="AQ207" s="22"/>
      <c r="AR207" s="22"/>
      <c r="AS207" s="22"/>
    </row>
    <row r="208" spans="1:45" x14ac:dyDescent="0.3">
      <c r="A208" s="22"/>
      <c r="B208" s="71"/>
      <c r="C208" s="22"/>
      <c r="D208" s="23"/>
      <c r="E208" s="22"/>
      <c r="F208" s="22"/>
      <c r="G208" s="22"/>
      <c r="H208" s="23"/>
      <c r="I208" s="22"/>
      <c r="J208" s="22"/>
      <c r="K208" s="22"/>
      <c r="L208" s="23"/>
      <c r="M208" s="71"/>
      <c r="N208" s="71"/>
      <c r="O208" s="22"/>
      <c r="P208" s="22"/>
      <c r="Q208" s="22"/>
      <c r="R208" s="71"/>
      <c r="AC208" s="22"/>
      <c r="AD208" s="22"/>
      <c r="AE208" s="22"/>
      <c r="AF208" s="22"/>
      <c r="AG208" s="22"/>
      <c r="AH208" s="22"/>
      <c r="AI208" s="22"/>
      <c r="AJ208" s="22"/>
      <c r="AK208" s="22"/>
      <c r="AL208" s="22"/>
      <c r="AM208" s="22"/>
      <c r="AN208" s="22"/>
      <c r="AO208" s="22"/>
      <c r="AP208" s="22"/>
      <c r="AQ208" s="22"/>
      <c r="AR208" s="22"/>
      <c r="AS208" s="22"/>
    </row>
    <row r="209" spans="1:45" x14ac:dyDescent="0.3">
      <c r="A209" s="22"/>
      <c r="B209" s="71"/>
      <c r="C209" s="22"/>
      <c r="D209" s="23"/>
      <c r="E209" s="22"/>
      <c r="F209" s="22"/>
      <c r="G209" s="22"/>
      <c r="H209" s="23"/>
      <c r="I209" s="22"/>
      <c r="J209" s="22"/>
      <c r="K209" s="22"/>
      <c r="L209" s="23"/>
      <c r="M209" s="71"/>
      <c r="N209" s="71"/>
      <c r="O209" s="22"/>
      <c r="P209" s="22"/>
      <c r="Q209" s="22"/>
      <c r="R209" s="71"/>
      <c r="AC209" s="22"/>
      <c r="AD209" s="22"/>
      <c r="AE209" s="22"/>
      <c r="AF209" s="22"/>
      <c r="AG209" s="22"/>
      <c r="AH209" s="22"/>
      <c r="AI209" s="22"/>
      <c r="AJ209" s="22"/>
      <c r="AK209" s="22"/>
      <c r="AL209" s="22"/>
      <c r="AM209" s="22"/>
      <c r="AN209" s="22"/>
      <c r="AO209" s="22"/>
      <c r="AP209" s="22"/>
      <c r="AQ209" s="22"/>
      <c r="AR209" s="22"/>
      <c r="AS209" s="22"/>
    </row>
    <row r="210" spans="1:45" x14ac:dyDescent="0.3">
      <c r="A210" s="22"/>
      <c r="B210" s="71"/>
      <c r="C210" s="22"/>
      <c r="D210" s="23"/>
      <c r="E210" s="22"/>
      <c r="F210" s="22"/>
      <c r="G210" s="22"/>
      <c r="H210" s="23"/>
      <c r="I210" s="22"/>
      <c r="J210" s="22"/>
      <c r="K210" s="22"/>
      <c r="L210" s="23"/>
      <c r="M210" s="71"/>
      <c r="N210" s="71"/>
      <c r="O210" s="22"/>
      <c r="P210" s="22"/>
      <c r="Q210" s="22"/>
      <c r="R210" s="71"/>
      <c r="AC210" s="22"/>
      <c r="AD210" s="22"/>
      <c r="AE210" s="22"/>
      <c r="AF210" s="22"/>
      <c r="AG210" s="22"/>
      <c r="AH210" s="22"/>
      <c r="AI210" s="22"/>
      <c r="AJ210" s="22"/>
      <c r="AK210" s="22"/>
      <c r="AL210" s="22"/>
      <c r="AM210" s="22"/>
      <c r="AN210" s="22"/>
      <c r="AO210" s="22"/>
      <c r="AP210" s="22"/>
      <c r="AQ210" s="22"/>
      <c r="AR210" s="22"/>
      <c r="AS210" s="22"/>
    </row>
    <row r="211" spans="1:45" x14ac:dyDescent="0.3">
      <c r="A211" s="22"/>
      <c r="B211" s="71"/>
      <c r="C211" s="22"/>
      <c r="D211" s="23"/>
      <c r="E211" s="22"/>
      <c r="F211" s="22"/>
      <c r="G211" s="22"/>
      <c r="H211" s="23"/>
      <c r="I211" s="22"/>
      <c r="J211" s="22"/>
      <c r="K211" s="22"/>
      <c r="L211" s="23"/>
      <c r="M211" s="71"/>
      <c r="N211" s="71"/>
      <c r="O211" s="22"/>
      <c r="P211" s="22"/>
      <c r="Q211" s="22"/>
      <c r="R211" s="71"/>
      <c r="AC211" s="22"/>
      <c r="AD211" s="22"/>
      <c r="AE211" s="22"/>
      <c r="AF211" s="22"/>
      <c r="AG211" s="22"/>
      <c r="AH211" s="22"/>
      <c r="AI211" s="22"/>
      <c r="AJ211" s="22"/>
      <c r="AK211" s="22"/>
      <c r="AL211" s="22"/>
      <c r="AM211" s="22"/>
      <c r="AN211" s="22"/>
      <c r="AO211" s="22"/>
      <c r="AP211" s="22"/>
      <c r="AQ211" s="22"/>
      <c r="AR211" s="22"/>
      <c r="AS211" s="22"/>
    </row>
    <row r="212" spans="1:45" x14ac:dyDescent="0.3">
      <c r="A212" s="22"/>
      <c r="B212" s="71"/>
      <c r="C212" s="22"/>
      <c r="D212" s="23"/>
      <c r="E212" s="22"/>
      <c r="F212" s="22"/>
      <c r="G212" s="22"/>
      <c r="H212" s="23"/>
      <c r="I212" s="22"/>
      <c r="J212" s="22"/>
      <c r="K212" s="22"/>
      <c r="L212" s="23"/>
      <c r="M212" s="71"/>
      <c r="N212" s="71"/>
      <c r="O212" s="22"/>
      <c r="P212" s="22"/>
      <c r="Q212" s="22"/>
      <c r="R212" s="71"/>
      <c r="AC212" s="22"/>
      <c r="AD212" s="22"/>
      <c r="AE212" s="22"/>
      <c r="AF212" s="22"/>
      <c r="AG212" s="22"/>
      <c r="AH212" s="22"/>
      <c r="AI212" s="22"/>
      <c r="AJ212" s="22"/>
      <c r="AK212" s="22"/>
      <c r="AL212" s="22"/>
      <c r="AM212" s="22"/>
      <c r="AN212" s="22"/>
      <c r="AO212" s="22"/>
      <c r="AP212" s="22"/>
      <c r="AQ212" s="22"/>
      <c r="AR212" s="22"/>
      <c r="AS212" s="22"/>
    </row>
    <row r="213" spans="1:45" x14ac:dyDescent="0.3">
      <c r="A213" s="22"/>
      <c r="B213" s="71"/>
      <c r="C213" s="22"/>
      <c r="D213" s="23"/>
      <c r="E213" s="22"/>
      <c r="F213" s="22"/>
      <c r="G213" s="22"/>
      <c r="H213" s="23"/>
      <c r="I213" s="22"/>
      <c r="J213" s="22"/>
      <c r="K213" s="22"/>
      <c r="L213" s="23"/>
      <c r="M213" s="71"/>
      <c r="N213" s="71"/>
      <c r="O213" s="22"/>
      <c r="P213" s="22"/>
      <c r="Q213" s="22"/>
      <c r="R213" s="71"/>
      <c r="AC213" s="22"/>
      <c r="AD213" s="22"/>
      <c r="AE213" s="22"/>
      <c r="AF213" s="22"/>
      <c r="AG213" s="22"/>
      <c r="AH213" s="22"/>
      <c r="AI213" s="22"/>
      <c r="AJ213" s="22"/>
      <c r="AK213" s="22"/>
      <c r="AL213" s="22"/>
      <c r="AM213" s="22"/>
      <c r="AN213" s="22"/>
      <c r="AO213" s="22"/>
      <c r="AP213" s="22"/>
      <c r="AQ213" s="22"/>
      <c r="AR213" s="22"/>
      <c r="AS213" s="22"/>
    </row>
    <row r="214" spans="1:45" x14ac:dyDescent="0.3">
      <c r="A214" s="22"/>
      <c r="B214" s="71"/>
      <c r="C214" s="22"/>
      <c r="D214" s="23"/>
      <c r="E214" s="22"/>
      <c r="F214" s="22"/>
      <c r="G214" s="22"/>
      <c r="H214" s="23"/>
      <c r="I214" s="22"/>
      <c r="J214" s="22"/>
      <c r="K214" s="22"/>
      <c r="L214" s="23"/>
      <c r="M214" s="71"/>
      <c r="N214" s="71"/>
      <c r="O214" s="22"/>
      <c r="P214" s="22"/>
      <c r="Q214" s="22"/>
      <c r="R214" s="71"/>
      <c r="AC214" s="22"/>
      <c r="AD214" s="22"/>
      <c r="AE214" s="22"/>
      <c r="AF214" s="22"/>
      <c r="AG214" s="22"/>
      <c r="AH214" s="22"/>
      <c r="AI214" s="22"/>
      <c r="AJ214" s="22"/>
      <c r="AK214" s="22"/>
      <c r="AL214" s="22"/>
      <c r="AM214" s="22"/>
      <c r="AN214" s="22"/>
      <c r="AO214" s="22"/>
      <c r="AP214" s="22"/>
      <c r="AQ214" s="22"/>
      <c r="AR214" s="22"/>
      <c r="AS214" s="22"/>
    </row>
    <row r="215" spans="1:45" x14ac:dyDescent="0.3">
      <c r="A215" s="22"/>
      <c r="B215" s="71"/>
      <c r="C215" s="22"/>
      <c r="D215" s="23"/>
      <c r="E215" s="22"/>
      <c r="F215" s="22"/>
      <c r="G215" s="22"/>
      <c r="H215" s="23"/>
      <c r="I215" s="22"/>
      <c r="J215" s="22"/>
      <c r="K215" s="22"/>
      <c r="L215" s="23"/>
      <c r="M215" s="71"/>
      <c r="N215" s="71"/>
      <c r="O215" s="22"/>
      <c r="P215" s="22"/>
      <c r="Q215" s="22"/>
      <c r="R215" s="71"/>
      <c r="AC215" s="22"/>
      <c r="AD215" s="22"/>
      <c r="AE215" s="22"/>
      <c r="AF215" s="22"/>
      <c r="AG215" s="22"/>
      <c r="AH215" s="22"/>
      <c r="AI215" s="22"/>
      <c r="AJ215" s="22"/>
      <c r="AK215" s="22"/>
      <c r="AL215" s="22"/>
      <c r="AM215" s="22"/>
      <c r="AN215" s="22"/>
      <c r="AO215" s="22"/>
      <c r="AP215" s="22"/>
      <c r="AQ215" s="22"/>
      <c r="AR215" s="22"/>
      <c r="AS215" s="22"/>
    </row>
    <row r="216" spans="1:45" x14ac:dyDescent="0.3">
      <c r="A216" s="22"/>
      <c r="B216" s="71"/>
      <c r="C216" s="22"/>
      <c r="D216" s="23"/>
      <c r="E216" s="22"/>
      <c r="F216" s="22"/>
      <c r="G216" s="22"/>
      <c r="H216" s="23"/>
      <c r="I216" s="22"/>
      <c r="J216" s="22"/>
      <c r="K216" s="22"/>
      <c r="L216" s="23"/>
      <c r="M216" s="71"/>
      <c r="N216" s="71"/>
      <c r="O216" s="22"/>
      <c r="P216" s="22"/>
      <c r="Q216" s="22"/>
      <c r="R216" s="71"/>
      <c r="AC216" s="22"/>
      <c r="AD216" s="22"/>
      <c r="AE216" s="22"/>
      <c r="AF216" s="22"/>
      <c r="AG216" s="22"/>
      <c r="AH216" s="22"/>
      <c r="AI216" s="22"/>
      <c r="AJ216" s="22"/>
      <c r="AK216" s="22"/>
      <c r="AL216" s="22"/>
      <c r="AM216" s="22"/>
      <c r="AN216" s="22"/>
      <c r="AO216" s="22"/>
      <c r="AP216" s="22"/>
      <c r="AQ216" s="22"/>
      <c r="AR216" s="22"/>
      <c r="AS216" s="22"/>
    </row>
    <row r="217" spans="1:45" x14ac:dyDescent="0.3">
      <c r="A217" s="22"/>
      <c r="B217" s="71"/>
      <c r="C217" s="22"/>
      <c r="D217" s="23"/>
      <c r="E217" s="22"/>
      <c r="F217" s="22"/>
      <c r="G217" s="22"/>
      <c r="H217" s="23"/>
      <c r="I217" s="22"/>
      <c r="J217" s="22"/>
      <c r="K217" s="22"/>
      <c r="L217" s="23"/>
      <c r="M217" s="71"/>
      <c r="N217" s="71"/>
      <c r="O217" s="22"/>
      <c r="P217" s="22"/>
      <c r="Q217" s="22"/>
      <c r="R217" s="71"/>
      <c r="AC217" s="22"/>
      <c r="AD217" s="22"/>
      <c r="AE217" s="22"/>
      <c r="AF217" s="22"/>
      <c r="AG217" s="22"/>
      <c r="AH217" s="22"/>
      <c r="AI217" s="22"/>
      <c r="AJ217" s="22"/>
      <c r="AK217" s="22"/>
      <c r="AL217" s="22"/>
      <c r="AM217" s="22"/>
      <c r="AN217" s="22"/>
      <c r="AO217" s="22"/>
      <c r="AP217" s="22"/>
      <c r="AQ217" s="22"/>
      <c r="AR217" s="22"/>
      <c r="AS217" s="22"/>
    </row>
    <row r="218" spans="1:45" x14ac:dyDescent="0.3">
      <c r="A218" s="22"/>
      <c r="B218" s="71"/>
      <c r="C218" s="22"/>
      <c r="D218" s="23"/>
      <c r="E218" s="22"/>
      <c r="F218" s="22"/>
      <c r="G218" s="22"/>
      <c r="H218" s="23"/>
      <c r="I218" s="22"/>
      <c r="J218" s="22"/>
      <c r="K218" s="22"/>
      <c r="L218" s="23"/>
      <c r="M218" s="71"/>
      <c r="N218" s="71"/>
      <c r="O218" s="22"/>
      <c r="P218" s="22"/>
      <c r="Q218" s="22"/>
      <c r="R218" s="71"/>
      <c r="AC218" s="22"/>
      <c r="AD218" s="22"/>
      <c r="AE218" s="22"/>
      <c r="AF218" s="22"/>
      <c r="AG218" s="22"/>
      <c r="AH218" s="22"/>
      <c r="AI218" s="22"/>
      <c r="AJ218" s="22"/>
      <c r="AK218" s="22"/>
      <c r="AL218" s="22"/>
      <c r="AM218" s="22"/>
      <c r="AN218" s="22"/>
      <c r="AO218" s="22"/>
      <c r="AP218" s="22"/>
      <c r="AQ218" s="22"/>
      <c r="AR218" s="22"/>
      <c r="AS218" s="22"/>
    </row>
    <row r="219" spans="1:45" x14ac:dyDescent="0.3">
      <c r="A219" s="22"/>
      <c r="B219" s="71"/>
      <c r="C219" s="22"/>
      <c r="D219" s="23"/>
      <c r="E219" s="22"/>
      <c r="F219" s="22"/>
      <c r="G219" s="22"/>
      <c r="H219" s="23"/>
      <c r="I219" s="22"/>
      <c r="J219" s="22"/>
      <c r="K219" s="22"/>
      <c r="L219" s="23"/>
      <c r="M219" s="71"/>
      <c r="N219" s="71"/>
      <c r="O219" s="22"/>
      <c r="P219" s="22"/>
      <c r="Q219" s="22"/>
      <c r="R219" s="71"/>
      <c r="AC219" s="22"/>
      <c r="AD219" s="22"/>
      <c r="AE219" s="22"/>
      <c r="AF219" s="22"/>
      <c r="AG219" s="22"/>
      <c r="AH219" s="22"/>
      <c r="AI219" s="22"/>
      <c r="AJ219" s="22"/>
      <c r="AK219" s="22"/>
      <c r="AL219" s="22"/>
      <c r="AM219" s="22"/>
      <c r="AN219" s="22"/>
      <c r="AO219" s="22"/>
      <c r="AP219" s="22"/>
      <c r="AQ219" s="22"/>
      <c r="AR219" s="22"/>
      <c r="AS219" s="22"/>
    </row>
    <row r="220" spans="1:45" x14ac:dyDescent="0.3">
      <c r="A220" s="22"/>
      <c r="B220" s="71"/>
      <c r="C220" s="22"/>
      <c r="D220" s="23"/>
      <c r="E220" s="22"/>
      <c r="F220" s="22"/>
      <c r="G220" s="22"/>
      <c r="H220" s="23"/>
      <c r="I220" s="22"/>
      <c r="J220" s="22"/>
      <c r="K220" s="22"/>
      <c r="L220" s="23"/>
      <c r="M220" s="71"/>
      <c r="N220" s="71"/>
      <c r="O220" s="22"/>
      <c r="P220" s="22"/>
      <c r="Q220" s="22"/>
      <c r="R220" s="71"/>
      <c r="AC220" s="22"/>
      <c r="AD220" s="22"/>
      <c r="AE220" s="22"/>
      <c r="AF220" s="22"/>
      <c r="AG220" s="22"/>
      <c r="AH220" s="22"/>
      <c r="AI220" s="22"/>
      <c r="AJ220" s="22"/>
      <c r="AK220" s="22"/>
      <c r="AL220" s="22"/>
      <c r="AM220" s="22"/>
      <c r="AN220" s="22"/>
      <c r="AO220" s="22"/>
      <c r="AP220" s="22"/>
      <c r="AQ220" s="22"/>
      <c r="AR220" s="22"/>
      <c r="AS220" s="22"/>
    </row>
    <row r="221" spans="1:45" x14ac:dyDescent="0.3">
      <c r="A221" s="22"/>
      <c r="B221" s="71"/>
      <c r="C221" s="22"/>
      <c r="D221" s="23"/>
      <c r="E221" s="22"/>
      <c r="F221" s="22"/>
      <c r="G221" s="22"/>
      <c r="H221" s="23"/>
      <c r="I221" s="22"/>
      <c r="J221" s="22"/>
      <c r="K221" s="22"/>
      <c r="L221" s="23"/>
      <c r="M221" s="71"/>
      <c r="N221" s="71"/>
      <c r="O221" s="22"/>
      <c r="P221" s="22"/>
      <c r="Q221" s="22"/>
      <c r="R221" s="71"/>
      <c r="AC221" s="22"/>
      <c r="AD221" s="22"/>
      <c r="AE221" s="22"/>
      <c r="AF221" s="22"/>
      <c r="AG221" s="22"/>
      <c r="AH221" s="22"/>
      <c r="AI221" s="22"/>
      <c r="AJ221" s="22"/>
      <c r="AK221" s="22"/>
      <c r="AL221" s="22"/>
      <c r="AM221" s="22"/>
      <c r="AN221" s="22"/>
      <c r="AO221" s="22"/>
      <c r="AP221" s="22"/>
      <c r="AQ221" s="22"/>
      <c r="AR221" s="22"/>
      <c r="AS221" s="22"/>
    </row>
    <row r="222" spans="1:45" x14ac:dyDescent="0.3">
      <c r="A222" s="22"/>
      <c r="B222" s="71"/>
      <c r="C222" s="22"/>
      <c r="D222" s="23"/>
      <c r="E222" s="22"/>
      <c r="F222" s="22"/>
      <c r="G222" s="22"/>
      <c r="H222" s="23"/>
      <c r="I222" s="22"/>
      <c r="J222" s="22"/>
      <c r="K222" s="22"/>
      <c r="L222" s="23"/>
      <c r="M222" s="71"/>
      <c r="N222" s="71"/>
      <c r="O222" s="22"/>
      <c r="P222" s="22"/>
      <c r="Q222" s="22"/>
      <c r="R222" s="71"/>
      <c r="AC222" s="22"/>
      <c r="AD222" s="22"/>
      <c r="AE222" s="22"/>
      <c r="AF222" s="22"/>
      <c r="AG222" s="22"/>
      <c r="AH222" s="22"/>
      <c r="AI222" s="22"/>
      <c r="AJ222" s="22"/>
      <c r="AK222" s="22"/>
      <c r="AL222" s="22"/>
      <c r="AM222" s="22"/>
      <c r="AN222" s="22"/>
      <c r="AO222" s="22"/>
      <c r="AP222" s="22"/>
      <c r="AQ222" s="22"/>
      <c r="AR222" s="22"/>
      <c r="AS222" s="22"/>
    </row>
    <row r="223" spans="1:45" x14ac:dyDescent="0.3">
      <c r="A223" s="22"/>
      <c r="B223" s="71"/>
      <c r="C223" s="22"/>
      <c r="D223" s="23"/>
      <c r="E223" s="22"/>
      <c r="F223" s="22"/>
      <c r="G223" s="22"/>
      <c r="H223" s="23"/>
      <c r="I223" s="22"/>
      <c r="J223" s="22"/>
      <c r="K223" s="22"/>
      <c r="L223" s="23"/>
      <c r="M223" s="71"/>
      <c r="N223" s="71"/>
      <c r="O223" s="22"/>
      <c r="P223" s="22"/>
      <c r="Q223" s="22"/>
      <c r="R223" s="71"/>
      <c r="AC223" s="22"/>
      <c r="AD223" s="22"/>
      <c r="AE223" s="22"/>
      <c r="AF223" s="22"/>
      <c r="AG223" s="22"/>
      <c r="AH223" s="22"/>
      <c r="AI223" s="22"/>
      <c r="AJ223" s="22"/>
      <c r="AK223" s="22"/>
      <c r="AL223" s="22"/>
      <c r="AM223" s="22"/>
      <c r="AN223" s="22"/>
      <c r="AO223" s="22"/>
      <c r="AP223" s="22"/>
      <c r="AQ223" s="22"/>
      <c r="AR223" s="22"/>
      <c r="AS223" s="22"/>
    </row>
    <row r="224" spans="1:45" x14ac:dyDescent="0.3">
      <c r="A224" s="22"/>
      <c r="B224" s="71"/>
      <c r="C224" s="22"/>
      <c r="D224" s="23"/>
      <c r="E224" s="22"/>
      <c r="F224" s="22"/>
      <c r="G224" s="22"/>
      <c r="H224" s="23"/>
      <c r="I224" s="22"/>
      <c r="J224" s="22"/>
      <c r="K224" s="22"/>
      <c r="L224" s="23"/>
      <c r="M224" s="71"/>
      <c r="N224" s="71"/>
      <c r="O224" s="22"/>
      <c r="P224" s="22"/>
      <c r="Q224" s="22"/>
      <c r="R224" s="71"/>
      <c r="AC224" s="22"/>
      <c r="AD224" s="22"/>
      <c r="AE224" s="22"/>
      <c r="AF224" s="22"/>
      <c r="AG224" s="22"/>
      <c r="AH224" s="22"/>
      <c r="AI224" s="22"/>
      <c r="AJ224" s="22"/>
      <c r="AK224" s="22"/>
      <c r="AL224" s="22"/>
      <c r="AM224" s="22"/>
      <c r="AN224" s="22"/>
      <c r="AO224" s="22"/>
      <c r="AP224" s="22"/>
      <c r="AQ224" s="22"/>
      <c r="AR224" s="22"/>
      <c r="AS224" s="22"/>
    </row>
    <row r="225" spans="1:45" x14ac:dyDescent="0.3">
      <c r="A225" s="22"/>
      <c r="B225" s="71"/>
      <c r="C225" s="22"/>
      <c r="D225" s="23"/>
      <c r="E225" s="22"/>
      <c r="F225" s="22"/>
      <c r="G225" s="22"/>
      <c r="H225" s="23"/>
      <c r="I225" s="22"/>
      <c r="J225" s="22"/>
      <c r="K225" s="22"/>
      <c r="L225" s="23"/>
      <c r="M225" s="71"/>
      <c r="N225" s="71"/>
      <c r="O225" s="22"/>
      <c r="P225" s="22"/>
      <c r="Q225" s="22"/>
      <c r="R225" s="71"/>
      <c r="AC225" s="22"/>
      <c r="AD225" s="22"/>
      <c r="AE225" s="22"/>
      <c r="AF225" s="22"/>
      <c r="AG225" s="22"/>
      <c r="AH225" s="22"/>
      <c r="AI225" s="22"/>
      <c r="AJ225" s="22"/>
      <c r="AK225" s="22"/>
      <c r="AL225" s="22"/>
      <c r="AM225" s="22"/>
      <c r="AN225" s="22"/>
      <c r="AO225" s="22"/>
      <c r="AP225" s="22"/>
      <c r="AQ225" s="22"/>
      <c r="AR225" s="22"/>
      <c r="AS225" s="22"/>
    </row>
    <row r="226" spans="1:45" x14ac:dyDescent="0.3">
      <c r="A226" s="22"/>
      <c r="B226" s="71"/>
      <c r="C226" s="22"/>
      <c r="D226" s="23"/>
      <c r="E226" s="22"/>
      <c r="F226" s="22"/>
      <c r="G226" s="22"/>
      <c r="H226" s="23"/>
      <c r="I226" s="22"/>
      <c r="J226" s="22"/>
      <c r="K226" s="22"/>
      <c r="L226" s="23"/>
      <c r="M226" s="71"/>
      <c r="N226" s="71"/>
      <c r="O226" s="22"/>
      <c r="P226" s="22"/>
      <c r="Q226" s="22"/>
      <c r="R226" s="71"/>
      <c r="AC226" s="22"/>
      <c r="AD226" s="22"/>
      <c r="AE226" s="22"/>
      <c r="AF226" s="22"/>
      <c r="AG226" s="22"/>
      <c r="AH226" s="22"/>
      <c r="AI226" s="22"/>
      <c r="AJ226" s="22"/>
      <c r="AK226" s="22"/>
      <c r="AL226" s="22"/>
      <c r="AM226" s="22"/>
      <c r="AN226" s="22"/>
      <c r="AO226" s="22"/>
      <c r="AP226" s="22"/>
      <c r="AQ226" s="22"/>
      <c r="AR226" s="22"/>
      <c r="AS226" s="22"/>
    </row>
    <row r="227" spans="1:45" x14ac:dyDescent="0.3">
      <c r="A227" s="22"/>
      <c r="B227" s="71"/>
      <c r="C227" s="22"/>
      <c r="D227" s="23"/>
      <c r="E227" s="22"/>
      <c r="F227" s="22"/>
      <c r="G227" s="22"/>
      <c r="H227" s="23"/>
      <c r="I227" s="22"/>
      <c r="J227" s="22"/>
      <c r="K227" s="22"/>
      <c r="L227" s="23"/>
      <c r="M227" s="71"/>
      <c r="N227" s="71"/>
      <c r="O227" s="22"/>
      <c r="P227" s="22"/>
      <c r="Q227" s="22"/>
      <c r="R227" s="71"/>
      <c r="AC227" s="22"/>
      <c r="AD227" s="22"/>
      <c r="AE227" s="22"/>
      <c r="AF227" s="22"/>
      <c r="AG227" s="22"/>
      <c r="AH227" s="22"/>
      <c r="AI227" s="22"/>
      <c r="AJ227" s="22"/>
      <c r="AK227" s="22"/>
      <c r="AL227" s="22"/>
      <c r="AM227" s="22"/>
      <c r="AN227" s="22"/>
      <c r="AO227" s="22"/>
      <c r="AP227" s="22"/>
      <c r="AQ227" s="22"/>
      <c r="AR227" s="22"/>
      <c r="AS227" s="22"/>
    </row>
    <row r="228" spans="1:45" x14ac:dyDescent="0.3">
      <c r="A228" s="22"/>
      <c r="B228" s="71"/>
      <c r="C228" s="22"/>
      <c r="D228" s="23"/>
      <c r="E228" s="22"/>
      <c r="F228" s="22"/>
      <c r="G228" s="22"/>
      <c r="H228" s="23"/>
      <c r="I228" s="22"/>
      <c r="J228" s="22"/>
      <c r="K228" s="22"/>
      <c r="L228" s="23"/>
      <c r="M228" s="71"/>
      <c r="N228" s="71"/>
      <c r="O228" s="22"/>
      <c r="P228" s="22"/>
      <c r="Q228" s="22"/>
      <c r="R228" s="71"/>
      <c r="AC228" s="22"/>
      <c r="AD228" s="22"/>
      <c r="AE228" s="22"/>
      <c r="AF228" s="22"/>
      <c r="AG228" s="22"/>
      <c r="AH228" s="22"/>
      <c r="AI228" s="22"/>
      <c r="AJ228" s="22"/>
      <c r="AK228" s="22"/>
      <c r="AL228" s="22"/>
      <c r="AM228" s="22"/>
      <c r="AN228" s="22"/>
      <c r="AO228" s="22"/>
      <c r="AP228" s="22"/>
      <c r="AQ228" s="22"/>
      <c r="AR228" s="22"/>
      <c r="AS228" s="22"/>
    </row>
    <row r="229" spans="1:45" x14ac:dyDescent="0.3">
      <c r="A229" s="22"/>
      <c r="B229" s="71"/>
      <c r="C229" s="22"/>
      <c r="D229" s="23"/>
      <c r="E229" s="22"/>
      <c r="F229" s="22"/>
      <c r="G229" s="22"/>
      <c r="H229" s="23"/>
      <c r="I229" s="22"/>
      <c r="J229" s="22"/>
      <c r="K229" s="22"/>
      <c r="L229" s="23"/>
      <c r="M229" s="71"/>
      <c r="N229" s="71"/>
      <c r="O229" s="22"/>
      <c r="P229" s="22"/>
      <c r="Q229" s="22"/>
      <c r="R229" s="71"/>
      <c r="AC229" s="22"/>
      <c r="AD229" s="22"/>
      <c r="AE229" s="22"/>
      <c r="AF229" s="22"/>
      <c r="AG229" s="22"/>
      <c r="AH229" s="22"/>
      <c r="AI229" s="22"/>
      <c r="AJ229" s="22"/>
      <c r="AK229" s="22"/>
      <c r="AL229" s="22"/>
      <c r="AM229" s="22"/>
      <c r="AN229" s="22"/>
      <c r="AO229" s="22"/>
      <c r="AP229" s="22"/>
      <c r="AQ229" s="22"/>
      <c r="AR229" s="22"/>
      <c r="AS229" s="22"/>
    </row>
    <row r="230" spans="1:45" x14ac:dyDescent="0.3">
      <c r="A230" s="22"/>
      <c r="B230" s="71"/>
      <c r="C230" s="22"/>
      <c r="D230" s="23"/>
      <c r="E230" s="22"/>
      <c r="F230" s="22"/>
      <c r="G230" s="22"/>
      <c r="H230" s="23"/>
      <c r="I230" s="22"/>
      <c r="J230" s="22"/>
      <c r="K230" s="22"/>
      <c r="L230" s="23"/>
      <c r="M230" s="71"/>
      <c r="N230" s="71"/>
      <c r="O230" s="22"/>
      <c r="P230" s="22"/>
      <c r="Q230" s="22"/>
      <c r="R230" s="71"/>
      <c r="AC230" s="22"/>
      <c r="AD230" s="22"/>
      <c r="AE230" s="22"/>
      <c r="AF230" s="22"/>
      <c r="AG230" s="22"/>
      <c r="AH230" s="22"/>
      <c r="AI230" s="22"/>
      <c r="AJ230" s="22"/>
      <c r="AK230" s="22"/>
      <c r="AL230" s="22"/>
      <c r="AM230" s="22"/>
      <c r="AN230" s="22"/>
      <c r="AO230" s="22"/>
      <c r="AP230" s="22"/>
      <c r="AQ230" s="22"/>
      <c r="AR230" s="22"/>
      <c r="AS230" s="22"/>
    </row>
    <row r="231" spans="1:45" x14ac:dyDescent="0.3">
      <c r="A231" s="22"/>
      <c r="B231" s="71"/>
      <c r="C231" s="22"/>
      <c r="D231" s="23"/>
      <c r="E231" s="22"/>
      <c r="F231" s="22"/>
      <c r="G231" s="22"/>
      <c r="H231" s="23"/>
      <c r="I231" s="22"/>
      <c r="J231" s="22"/>
      <c r="K231" s="22"/>
      <c r="L231" s="23"/>
      <c r="M231" s="71"/>
      <c r="N231" s="71"/>
      <c r="O231" s="22"/>
      <c r="P231" s="22"/>
      <c r="Q231" s="22"/>
      <c r="R231" s="71"/>
      <c r="AC231" s="22"/>
      <c r="AD231" s="22"/>
      <c r="AE231" s="22"/>
      <c r="AF231" s="22"/>
      <c r="AG231" s="22"/>
      <c r="AH231" s="22"/>
      <c r="AI231" s="22"/>
      <c r="AJ231" s="22"/>
      <c r="AK231" s="22"/>
      <c r="AL231" s="22"/>
      <c r="AM231" s="22"/>
      <c r="AN231" s="22"/>
      <c r="AO231" s="22"/>
      <c r="AP231" s="22"/>
      <c r="AQ231" s="22"/>
      <c r="AR231" s="22"/>
      <c r="AS231" s="22"/>
    </row>
    <row r="232" spans="1:45" x14ac:dyDescent="0.3">
      <c r="A232" s="22"/>
      <c r="B232" s="71"/>
      <c r="C232" s="22"/>
      <c r="D232" s="23"/>
      <c r="E232" s="22"/>
      <c r="F232" s="22"/>
      <c r="G232" s="22"/>
      <c r="H232" s="23"/>
      <c r="I232" s="22"/>
      <c r="J232" s="22"/>
      <c r="K232" s="22"/>
      <c r="L232" s="23"/>
      <c r="M232" s="71"/>
      <c r="N232" s="71"/>
      <c r="O232" s="22"/>
      <c r="P232" s="22"/>
      <c r="Q232" s="22"/>
      <c r="R232" s="71"/>
      <c r="AC232" s="22"/>
      <c r="AD232" s="22"/>
      <c r="AE232" s="22"/>
      <c r="AF232" s="22"/>
      <c r="AG232" s="22"/>
      <c r="AH232" s="22"/>
      <c r="AI232" s="22"/>
      <c r="AJ232" s="22"/>
      <c r="AK232" s="22"/>
      <c r="AL232" s="22"/>
      <c r="AM232" s="22"/>
      <c r="AN232" s="22"/>
      <c r="AO232" s="22"/>
      <c r="AP232" s="22"/>
      <c r="AQ232" s="22"/>
      <c r="AR232" s="22"/>
      <c r="AS232" s="22"/>
    </row>
    <row r="233" spans="1:45" x14ac:dyDescent="0.3">
      <c r="A233" s="22"/>
      <c r="B233" s="71"/>
      <c r="C233" s="22"/>
      <c r="D233" s="23"/>
      <c r="E233" s="22"/>
      <c r="F233" s="22"/>
      <c r="G233" s="22"/>
      <c r="H233" s="23"/>
      <c r="I233" s="22"/>
      <c r="J233" s="22"/>
      <c r="K233" s="22"/>
      <c r="L233" s="23"/>
      <c r="M233" s="71"/>
      <c r="N233" s="71"/>
      <c r="O233" s="22"/>
      <c r="P233" s="22"/>
      <c r="Q233" s="22"/>
      <c r="R233" s="71"/>
      <c r="AC233" s="22"/>
      <c r="AD233" s="22"/>
      <c r="AE233" s="22"/>
      <c r="AF233" s="22"/>
      <c r="AG233" s="22"/>
      <c r="AH233" s="22"/>
      <c r="AI233" s="22"/>
      <c r="AJ233" s="22"/>
      <c r="AK233" s="22"/>
      <c r="AL233" s="22"/>
      <c r="AM233" s="22"/>
      <c r="AN233" s="22"/>
      <c r="AO233" s="22"/>
      <c r="AP233" s="22"/>
      <c r="AQ233" s="22"/>
      <c r="AR233" s="22"/>
      <c r="AS233" s="22"/>
    </row>
    <row r="234" spans="1:45" x14ac:dyDescent="0.3">
      <c r="A234" s="22"/>
      <c r="B234" s="71"/>
      <c r="C234" s="22"/>
      <c r="D234" s="23"/>
      <c r="E234" s="22"/>
      <c r="F234" s="22"/>
      <c r="G234" s="22"/>
      <c r="H234" s="23"/>
      <c r="I234" s="22"/>
      <c r="J234" s="22"/>
      <c r="K234" s="22"/>
      <c r="L234" s="23"/>
      <c r="M234" s="71"/>
      <c r="N234" s="71"/>
      <c r="O234" s="22"/>
      <c r="P234" s="22"/>
      <c r="Q234" s="22"/>
      <c r="R234" s="71"/>
      <c r="AC234" s="22"/>
      <c r="AD234" s="22"/>
      <c r="AE234" s="22"/>
      <c r="AF234" s="22"/>
      <c r="AG234" s="22"/>
      <c r="AH234" s="22"/>
      <c r="AI234" s="22"/>
      <c r="AJ234" s="22"/>
      <c r="AK234" s="22"/>
      <c r="AL234" s="22"/>
      <c r="AM234" s="22"/>
      <c r="AN234" s="22"/>
      <c r="AO234" s="22"/>
      <c r="AP234" s="22"/>
      <c r="AQ234" s="22"/>
      <c r="AR234" s="22"/>
      <c r="AS234" s="22"/>
    </row>
    <row r="235" spans="1:45" x14ac:dyDescent="0.3">
      <c r="A235" s="22"/>
      <c r="B235" s="71"/>
      <c r="C235" s="22"/>
      <c r="D235" s="23"/>
      <c r="E235" s="22"/>
      <c r="F235" s="22"/>
      <c r="G235" s="22"/>
      <c r="H235" s="23"/>
      <c r="I235" s="22"/>
      <c r="J235" s="22"/>
      <c r="K235" s="22"/>
      <c r="L235" s="23"/>
      <c r="M235" s="71"/>
      <c r="N235" s="71"/>
      <c r="O235" s="22"/>
      <c r="P235" s="22"/>
      <c r="Q235" s="22"/>
      <c r="R235" s="71"/>
      <c r="AC235" s="22"/>
      <c r="AD235" s="22"/>
      <c r="AE235" s="22"/>
      <c r="AF235" s="22"/>
      <c r="AG235" s="22"/>
      <c r="AH235" s="22"/>
      <c r="AI235" s="22"/>
      <c r="AJ235" s="22"/>
      <c r="AK235" s="22"/>
      <c r="AL235" s="22"/>
      <c r="AM235" s="22"/>
      <c r="AN235" s="22"/>
      <c r="AO235" s="22"/>
      <c r="AP235" s="22"/>
      <c r="AQ235" s="22"/>
      <c r="AR235" s="22"/>
      <c r="AS235" s="22"/>
    </row>
    <row r="236" spans="1:45" x14ac:dyDescent="0.3">
      <c r="A236" s="22"/>
      <c r="B236" s="71"/>
      <c r="C236" s="22"/>
      <c r="D236" s="23"/>
      <c r="E236" s="22"/>
      <c r="F236" s="22"/>
      <c r="G236" s="22"/>
      <c r="H236" s="23"/>
      <c r="I236" s="22"/>
      <c r="J236" s="22"/>
      <c r="K236" s="22"/>
      <c r="L236" s="23"/>
      <c r="M236" s="71"/>
      <c r="N236" s="71"/>
      <c r="O236" s="22"/>
      <c r="P236" s="22"/>
      <c r="Q236" s="22"/>
      <c r="R236" s="71"/>
      <c r="AC236" s="22"/>
      <c r="AD236" s="22"/>
      <c r="AE236" s="22"/>
      <c r="AF236" s="22"/>
      <c r="AG236" s="22"/>
      <c r="AH236" s="22"/>
      <c r="AI236" s="22"/>
      <c r="AJ236" s="22"/>
      <c r="AK236" s="22"/>
      <c r="AL236" s="22"/>
      <c r="AM236" s="22"/>
      <c r="AN236" s="22"/>
      <c r="AO236" s="22"/>
      <c r="AP236" s="22"/>
      <c r="AQ236" s="22"/>
      <c r="AR236" s="22"/>
      <c r="AS236" s="22"/>
    </row>
    <row r="237" spans="1:45" x14ac:dyDescent="0.3">
      <c r="A237" s="22"/>
      <c r="B237" s="71"/>
      <c r="C237" s="22"/>
      <c r="D237" s="23"/>
      <c r="E237" s="22"/>
      <c r="F237" s="22"/>
      <c r="G237" s="22"/>
      <c r="H237" s="23"/>
      <c r="I237" s="22"/>
      <c r="J237" s="22"/>
      <c r="K237" s="22"/>
      <c r="L237" s="23"/>
      <c r="M237" s="71"/>
      <c r="N237" s="71"/>
      <c r="O237" s="22"/>
      <c r="P237" s="22"/>
      <c r="Q237" s="22"/>
      <c r="R237" s="71"/>
      <c r="AC237" s="22"/>
      <c r="AD237" s="22"/>
      <c r="AE237" s="22"/>
      <c r="AF237" s="22"/>
      <c r="AG237" s="22"/>
      <c r="AH237" s="22"/>
      <c r="AI237" s="22"/>
      <c r="AJ237" s="22"/>
      <c r="AK237" s="22"/>
      <c r="AL237" s="22"/>
      <c r="AM237" s="22"/>
      <c r="AN237" s="22"/>
      <c r="AO237" s="22"/>
      <c r="AP237" s="22"/>
      <c r="AQ237" s="22"/>
      <c r="AR237" s="22"/>
      <c r="AS237" s="22"/>
    </row>
    <row r="238" spans="1:45" x14ac:dyDescent="0.3">
      <c r="A238" s="22"/>
      <c r="B238" s="71"/>
      <c r="C238" s="22"/>
      <c r="D238" s="23"/>
      <c r="E238" s="22"/>
      <c r="F238" s="22"/>
      <c r="G238" s="22"/>
      <c r="H238" s="23"/>
      <c r="I238" s="22"/>
      <c r="J238" s="22"/>
      <c r="K238" s="22"/>
      <c r="L238" s="23"/>
      <c r="M238" s="71"/>
      <c r="N238" s="71"/>
      <c r="O238" s="22"/>
      <c r="P238" s="22"/>
      <c r="Q238" s="22"/>
      <c r="R238" s="71"/>
      <c r="AC238" s="22"/>
      <c r="AD238" s="22"/>
      <c r="AE238" s="22"/>
      <c r="AF238" s="22"/>
      <c r="AG238" s="22"/>
      <c r="AH238" s="22"/>
      <c r="AI238" s="22"/>
      <c r="AJ238" s="22"/>
      <c r="AK238" s="22"/>
      <c r="AL238" s="22"/>
      <c r="AM238" s="22"/>
      <c r="AN238" s="22"/>
      <c r="AO238" s="22"/>
      <c r="AP238" s="22"/>
      <c r="AQ238" s="22"/>
      <c r="AR238" s="22"/>
      <c r="AS238" s="22"/>
    </row>
    <row r="239" spans="1:45" x14ac:dyDescent="0.3">
      <c r="A239" s="22"/>
      <c r="B239" s="71"/>
      <c r="C239" s="22"/>
      <c r="D239" s="23"/>
      <c r="E239" s="22"/>
      <c r="F239" s="22"/>
      <c r="G239" s="22"/>
      <c r="H239" s="23"/>
      <c r="I239" s="22"/>
      <c r="J239" s="22"/>
      <c r="K239" s="22"/>
      <c r="L239" s="23"/>
      <c r="M239" s="71"/>
      <c r="N239" s="71"/>
      <c r="O239" s="22"/>
      <c r="P239" s="22"/>
      <c r="Q239" s="22"/>
      <c r="R239" s="71"/>
      <c r="AC239" s="22"/>
      <c r="AD239" s="22"/>
      <c r="AE239" s="22"/>
      <c r="AF239" s="22"/>
      <c r="AG239" s="22"/>
      <c r="AH239" s="22"/>
      <c r="AI239" s="22"/>
      <c r="AJ239" s="22"/>
      <c r="AK239" s="22"/>
      <c r="AL239" s="22"/>
      <c r="AM239" s="22"/>
      <c r="AN239" s="22"/>
      <c r="AO239" s="22"/>
      <c r="AP239" s="22"/>
      <c r="AQ239" s="22"/>
      <c r="AR239" s="22"/>
      <c r="AS239" s="22"/>
    </row>
    <row r="240" spans="1:45" x14ac:dyDescent="0.3">
      <c r="A240" s="22"/>
      <c r="B240" s="71"/>
      <c r="C240" s="22"/>
      <c r="D240" s="23"/>
      <c r="E240" s="22"/>
      <c r="F240" s="22"/>
      <c r="G240" s="22"/>
      <c r="H240" s="23"/>
      <c r="I240" s="22"/>
      <c r="J240" s="22"/>
      <c r="K240" s="22"/>
      <c r="L240" s="23"/>
      <c r="M240" s="71"/>
      <c r="N240" s="71"/>
      <c r="O240" s="22"/>
      <c r="P240" s="22"/>
      <c r="Q240" s="22"/>
      <c r="R240" s="71"/>
      <c r="AC240" s="22"/>
      <c r="AD240" s="22"/>
      <c r="AE240" s="22"/>
      <c r="AF240" s="22"/>
      <c r="AG240" s="22"/>
      <c r="AH240" s="22"/>
      <c r="AI240" s="22"/>
      <c r="AJ240" s="22"/>
      <c r="AK240" s="22"/>
      <c r="AL240" s="22"/>
      <c r="AM240" s="22"/>
      <c r="AN240" s="22"/>
      <c r="AO240" s="22"/>
      <c r="AP240" s="22"/>
      <c r="AQ240" s="22"/>
      <c r="AR240" s="22"/>
      <c r="AS240" s="22"/>
    </row>
    <row r="241" spans="1:45" x14ac:dyDescent="0.3">
      <c r="A241" s="22"/>
      <c r="B241" s="71"/>
      <c r="C241" s="22"/>
      <c r="D241" s="23"/>
      <c r="E241" s="22"/>
      <c r="F241" s="22"/>
      <c r="G241" s="22"/>
      <c r="H241" s="23"/>
      <c r="I241" s="22"/>
      <c r="J241" s="22"/>
      <c r="K241" s="22"/>
      <c r="L241" s="23"/>
      <c r="M241" s="71"/>
      <c r="N241" s="71"/>
      <c r="O241" s="22"/>
      <c r="P241" s="22"/>
      <c r="Q241" s="22"/>
      <c r="R241" s="71"/>
      <c r="AC241" s="22"/>
      <c r="AD241" s="22"/>
      <c r="AE241" s="22"/>
      <c r="AF241" s="22"/>
      <c r="AG241" s="22"/>
      <c r="AH241" s="22"/>
      <c r="AI241" s="22"/>
      <c r="AJ241" s="22"/>
      <c r="AK241" s="22"/>
      <c r="AL241" s="22"/>
      <c r="AM241" s="22"/>
      <c r="AN241" s="22"/>
      <c r="AO241" s="22"/>
      <c r="AP241" s="22"/>
      <c r="AQ241" s="22"/>
      <c r="AR241" s="22"/>
      <c r="AS241" s="22"/>
    </row>
    <row r="242" spans="1:45" x14ac:dyDescent="0.3">
      <c r="A242" s="22"/>
      <c r="B242" s="71"/>
      <c r="C242" s="22"/>
      <c r="D242" s="23"/>
      <c r="E242" s="22"/>
      <c r="F242" s="22"/>
      <c r="G242" s="22"/>
      <c r="H242" s="23"/>
      <c r="I242" s="22"/>
      <c r="J242" s="22"/>
      <c r="K242" s="22"/>
      <c r="L242" s="23"/>
      <c r="M242" s="71"/>
      <c r="N242" s="71"/>
      <c r="O242" s="22"/>
      <c r="P242" s="22"/>
      <c r="Q242" s="22"/>
      <c r="R242" s="71"/>
      <c r="AC242" s="22"/>
      <c r="AD242" s="22"/>
      <c r="AE242" s="22"/>
      <c r="AF242" s="22"/>
      <c r="AG242" s="22"/>
      <c r="AH242" s="22"/>
      <c r="AI242" s="22"/>
      <c r="AJ242" s="22"/>
      <c r="AK242" s="22"/>
      <c r="AL242" s="22"/>
      <c r="AM242" s="22"/>
      <c r="AN242" s="22"/>
      <c r="AO242" s="22"/>
      <c r="AP242" s="22"/>
      <c r="AQ242" s="22"/>
      <c r="AR242" s="22"/>
      <c r="AS242" s="22"/>
    </row>
    <row r="243" spans="1:45" x14ac:dyDescent="0.3">
      <c r="A243" s="22"/>
      <c r="B243" s="71"/>
      <c r="C243" s="22"/>
      <c r="D243" s="23"/>
      <c r="E243" s="22"/>
      <c r="F243" s="22"/>
      <c r="G243" s="22"/>
      <c r="H243" s="23"/>
      <c r="I243" s="22"/>
      <c r="J243" s="22"/>
      <c r="K243" s="22"/>
      <c r="L243" s="23"/>
      <c r="M243" s="71"/>
      <c r="N243" s="71"/>
      <c r="O243" s="22"/>
      <c r="P243" s="22"/>
      <c r="Q243" s="22"/>
      <c r="R243" s="71"/>
      <c r="AC243" s="22"/>
      <c r="AD243" s="22"/>
      <c r="AE243" s="22"/>
      <c r="AF243" s="22"/>
      <c r="AG243" s="22"/>
      <c r="AH243" s="22"/>
      <c r="AI243" s="22"/>
      <c r="AJ243" s="22"/>
      <c r="AK243" s="22"/>
      <c r="AL243" s="22"/>
      <c r="AM243" s="22"/>
      <c r="AN243" s="22"/>
      <c r="AO243" s="22"/>
      <c r="AP243" s="22"/>
      <c r="AQ243" s="22"/>
      <c r="AR243" s="22"/>
      <c r="AS243" s="22"/>
    </row>
    <row r="244" spans="1:45" x14ac:dyDescent="0.3">
      <c r="A244" s="22"/>
      <c r="B244" s="71"/>
      <c r="C244" s="22"/>
      <c r="D244" s="23"/>
      <c r="E244" s="22"/>
      <c r="F244" s="22"/>
      <c r="G244" s="22"/>
      <c r="H244" s="23"/>
      <c r="I244" s="22"/>
      <c r="J244" s="22"/>
      <c r="K244" s="22"/>
      <c r="L244" s="23"/>
      <c r="M244" s="71"/>
      <c r="N244" s="71"/>
      <c r="O244" s="22"/>
      <c r="P244" s="22"/>
      <c r="Q244" s="22"/>
      <c r="R244" s="71"/>
      <c r="AC244" s="22"/>
      <c r="AD244" s="22"/>
      <c r="AE244" s="22"/>
      <c r="AF244" s="22"/>
      <c r="AG244" s="22"/>
      <c r="AH244" s="22"/>
      <c r="AI244" s="22"/>
      <c r="AJ244" s="22"/>
      <c r="AK244" s="22"/>
      <c r="AL244" s="22"/>
      <c r="AM244" s="22"/>
      <c r="AN244" s="22"/>
      <c r="AO244" s="22"/>
      <c r="AP244" s="22"/>
      <c r="AQ244" s="22"/>
      <c r="AR244" s="22"/>
      <c r="AS244" s="22"/>
    </row>
    <row r="245" spans="1:45" x14ac:dyDescent="0.3">
      <c r="A245" s="22"/>
      <c r="B245" s="71"/>
      <c r="C245" s="22"/>
      <c r="D245" s="23"/>
      <c r="E245" s="22"/>
      <c r="F245" s="22"/>
      <c r="G245" s="22"/>
      <c r="H245" s="23"/>
      <c r="I245" s="22"/>
      <c r="J245" s="22"/>
      <c r="K245" s="22"/>
      <c r="L245" s="23"/>
      <c r="M245" s="71"/>
      <c r="N245" s="71"/>
      <c r="O245" s="22"/>
      <c r="P245" s="22"/>
      <c r="Q245" s="22"/>
      <c r="R245" s="71"/>
      <c r="AC245" s="22"/>
      <c r="AD245" s="22"/>
      <c r="AE245" s="22"/>
      <c r="AF245" s="22"/>
      <c r="AG245" s="22"/>
      <c r="AH245" s="22"/>
      <c r="AI245" s="22"/>
      <c r="AJ245" s="22"/>
      <c r="AK245" s="22"/>
      <c r="AL245" s="22"/>
      <c r="AM245" s="22"/>
      <c r="AN245" s="22"/>
      <c r="AO245" s="22"/>
      <c r="AP245" s="22"/>
      <c r="AQ245" s="22"/>
      <c r="AR245" s="22"/>
      <c r="AS245" s="22"/>
    </row>
    <row r="246" spans="1:45" x14ac:dyDescent="0.3">
      <c r="A246" s="22"/>
      <c r="B246" s="71"/>
      <c r="C246" s="22"/>
      <c r="D246" s="23"/>
      <c r="E246" s="22"/>
      <c r="F246" s="22"/>
      <c r="G246" s="22"/>
      <c r="H246" s="23"/>
      <c r="I246" s="22"/>
      <c r="J246" s="22"/>
      <c r="K246" s="22"/>
      <c r="L246" s="23"/>
      <c r="M246" s="71"/>
      <c r="N246" s="71"/>
      <c r="O246" s="22"/>
      <c r="P246" s="22"/>
      <c r="Q246" s="22"/>
      <c r="R246" s="71"/>
      <c r="AC246" s="22"/>
      <c r="AD246" s="22"/>
      <c r="AE246" s="22"/>
      <c r="AF246" s="22"/>
      <c r="AG246" s="22"/>
      <c r="AH246" s="22"/>
      <c r="AI246" s="22"/>
      <c r="AJ246" s="22"/>
      <c r="AK246" s="22"/>
      <c r="AL246" s="22"/>
      <c r="AM246" s="22"/>
      <c r="AN246" s="22"/>
      <c r="AO246" s="22"/>
      <c r="AP246" s="22"/>
      <c r="AQ246" s="22"/>
      <c r="AR246" s="22"/>
      <c r="AS246" s="22"/>
    </row>
    <row r="247" spans="1:45" x14ac:dyDescent="0.3">
      <c r="A247" s="22"/>
      <c r="B247" s="71"/>
      <c r="C247" s="22"/>
      <c r="D247" s="23"/>
      <c r="E247" s="22"/>
      <c r="F247" s="22"/>
      <c r="G247" s="22"/>
      <c r="H247" s="23"/>
      <c r="I247" s="22"/>
      <c r="J247" s="22"/>
      <c r="K247" s="22"/>
      <c r="L247" s="23"/>
      <c r="M247" s="71"/>
      <c r="N247" s="71"/>
      <c r="O247" s="22"/>
      <c r="P247" s="22"/>
      <c r="Q247" s="22"/>
      <c r="R247" s="71"/>
      <c r="AC247" s="22"/>
      <c r="AD247" s="22"/>
      <c r="AE247" s="22"/>
      <c r="AF247" s="22"/>
      <c r="AG247" s="22"/>
      <c r="AH247" s="22"/>
      <c r="AI247" s="22"/>
      <c r="AJ247" s="22"/>
      <c r="AK247" s="22"/>
      <c r="AL247" s="22"/>
      <c r="AM247" s="22"/>
      <c r="AN247" s="22"/>
      <c r="AO247" s="22"/>
      <c r="AP247" s="22"/>
      <c r="AQ247" s="22"/>
      <c r="AR247" s="22"/>
      <c r="AS247" s="22"/>
    </row>
    <row r="248" spans="1:45" x14ac:dyDescent="0.3">
      <c r="A248" s="22"/>
      <c r="B248" s="71"/>
      <c r="C248" s="22"/>
      <c r="D248" s="23"/>
      <c r="E248" s="22"/>
      <c r="F248" s="22"/>
      <c r="G248" s="22"/>
      <c r="H248" s="23"/>
      <c r="I248" s="22"/>
      <c r="J248" s="22"/>
      <c r="K248" s="22"/>
      <c r="L248" s="23"/>
      <c r="M248" s="71"/>
      <c r="N248" s="71"/>
      <c r="O248" s="22"/>
      <c r="P248" s="22"/>
      <c r="Q248" s="22"/>
      <c r="R248" s="71"/>
      <c r="AC248" s="22"/>
      <c r="AD248" s="22"/>
      <c r="AE248" s="22"/>
      <c r="AF248" s="22"/>
      <c r="AG248" s="22"/>
      <c r="AH248" s="22"/>
      <c r="AI248" s="22"/>
      <c r="AJ248" s="22"/>
      <c r="AK248" s="22"/>
      <c r="AL248" s="22"/>
      <c r="AM248" s="22"/>
      <c r="AN248" s="22"/>
      <c r="AO248" s="22"/>
      <c r="AP248" s="22"/>
      <c r="AQ248" s="22"/>
      <c r="AR248" s="22"/>
      <c r="AS248" s="22"/>
    </row>
    <row r="249" spans="1:45" x14ac:dyDescent="0.3">
      <c r="A249" s="22"/>
      <c r="B249" s="71"/>
      <c r="C249" s="22"/>
      <c r="D249" s="23"/>
      <c r="E249" s="22"/>
      <c r="F249" s="22"/>
      <c r="G249" s="22"/>
      <c r="H249" s="23"/>
      <c r="I249" s="22"/>
      <c r="J249" s="22"/>
      <c r="K249" s="22"/>
      <c r="L249" s="23"/>
      <c r="M249" s="71"/>
      <c r="N249" s="71"/>
      <c r="O249" s="22"/>
      <c r="P249" s="22"/>
      <c r="Q249" s="22"/>
      <c r="R249" s="71"/>
      <c r="AC249" s="22"/>
      <c r="AD249" s="22"/>
      <c r="AE249" s="22"/>
      <c r="AF249" s="22"/>
      <c r="AG249" s="22"/>
      <c r="AH249" s="22"/>
      <c r="AI249" s="22"/>
      <c r="AJ249" s="22"/>
      <c r="AK249" s="22"/>
      <c r="AL249" s="22"/>
      <c r="AM249" s="22"/>
      <c r="AN249" s="22"/>
      <c r="AO249" s="22"/>
      <c r="AP249" s="22"/>
      <c r="AQ249" s="22"/>
      <c r="AR249" s="22"/>
      <c r="AS249" s="22"/>
    </row>
    <row r="250" spans="1:45" x14ac:dyDescent="0.3">
      <c r="A250" s="22"/>
      <c r="B250" s="71"/>
      <c r="C250" s="22"/>
      <c r="D250" s="23"/>
      <c r="E250" s="22"/>
      <c r="F250" s="22"/>
      <c r="G250" s="22"/>
      <c r="H250" s="23"/>
      <c r="I250" s="22"/>
      <c r="J250" s="22"/>
      <c r="K250" s="22"/>
      <c r="L250" s="23"/>
      <c r="M250" s="71"/>
      <c r="N250" s="71"/>
      <c r="O250" s="22"/>
      <c r="P250" s="22"/>
      <c r="Q250" s="22"/>
      <c r="R250" s="71"/>
      <c r="AC250" s="22"/>
      <c r="AD250" s="22"/>
      <c r="AE250" s="22"/>
      <c r="AF250" s="22"/>
      <c r="AG250" s="22"/>
      <c r="AH250" s="22"/>
      <c r="AI250" s="22"/>
      <c r="AJ250" s="22"/>
      <c r="AK250" s="22"/>
      <c r="AL250" s="22"/>
      <c r="AM250" s="22"/>
      <c r="AN250" s="22"/>
      <c r="AO250" s="22"/>
      <c r="AP250" s="22"/>
      <c r="AQ250" s="22"/>
      <c r="AR250" s="22"/>
      <c r="AS250" s="22"/>
    </row>
    <row r="251" spans="1:45" x14ac:dyDescent="0.3">
      <c r="A251" s="22"/>
      <c r="B251" s="71"/>
      <c r="C251" s="22"/>
      <c r="D251" s="23"/>
      <c r="E251" s="22"/>
      <c r="F251" s="22"/>
      <c r="G251" s="22"/>
      <c r="H251" s="23"/>
      <c r="I251" s="22"/>
      <c r="J251" s="22"/>
      <c r="K251" s="22"/>
      <c r="L251" s="23"/>
      <c r="M251" s="71"/>
      <c r="N251" s="71"/>
      <c r="O251" s="22"/>
      <c r="P251" s="22"/>
      <c r="Q251" s="22"/>
      <c r="R251" s="71"/>
      <c r="AC251" s="22"/>
      <c r="AD251" s="22"/>
      <c r="AE251" s="22"/>
      <c r="AF251" s="22"/>
      <c r="AG251" s="22"/>
      <c r="AH251" s="22"/>
      <c r="AI251" s="22"/>
      <c r="AJ251" s="22"/>
      <c r="AK251" s="22"/>
      <c r="AL251" s="22"/>
      <c r="AM251" s="22"/>
      <c r="AN251" s="22"/>
      <c r="AO251" s="22"/>
      <c r="AP251" s="22"/>
      <c r="AQ251" s="22"/>
      <c r="AR251" s="22"/>
      <c r="AS251" s="22"/>
    </row>
    <row r="252" spans="1:45" x14ac:dyDescent="0.3">
      <c r="A252" s="22"/>
      <c r="B252" s="71"/>
      <c r="C252" s="22"/>
      <c r="D252" s="23"/>
      <c r="E252" s="22"/>
      <c r="F252" s="22"/>
      <c r="G252" s="22"/>
      <c r="H252" s="23"/>
      <c r="I252" s="22"/>
      <c r="J252" s="22"/>
      <c r="K252" s="22"/>
      <c r="L252" s="23"/>
      <c r="M252" s="71"/>
      <c r="N252" s="71"/>
      <c r="O252" s="22"/>
      <c r="P252" s="22"/>
      <c r="Q252" s="22"/>
      <c r="R252" s="71"/>
      <c r="AC252" s="22"/>
      <c r="AD252" s="22"/>
      <c r="AE252" s="22"/>
      <c r="AF252" s="22"/>
      <c r="AG252" s="22"/>
      <c r="AH252" s="22"/>
      <c r="AI252" s="22"/>
      <c r="AJ252" s="22"/>
      <c r="AK252" s="22"/>
      <c r="AL252" s="22"/>
      <c r="AM252" s="22"/>
      <c r="AN252" s="22"/>
      <c r="AO252" s="22"/>
      <c r="AP252" s="22"/>
      <c r="AQ252" s="22"/>
      <c r="AR252" s="22"/>
      <c r="AS252" s="22"/>
    </row>
    <row r="253" spans="1:45" x14ac:dyDescent="0.3">
      <c r="A253" s="22"/>
      <c r="B253" s="71"/>
      <c r="C253" s="22"/>
      <c r="D253" s="23"/>
      <c r="E253" s="22"/>
      <c r="F253" s="22"/>
      <c r="G253" s="22"/>
      <c r="H253" s="23"/>
      <c r="I253" s="22"/>
      <c r="J253" s="22"/>
      <c r="K253" s="22"/>
      <c r="L253" s="23"/>
      <c r="M253" s="71"/>
      <c r="N253" s="71"/>
      <c r="O253" s="22"/>
      <c r="P253" s="22"/>
      <c r="Q253" s="22"/>
      <c r="R253" s="71"/>
      <c r="AC253" s="22"/>
      <c r="AD253" s="22"/>
      <c r="AE253" s="22"/>
      <c r="AF253" s="22"/>
      <c r="AG253" s="22"/>
      <c r="AH253" s="22"/>
      <c r="AI253" s="22"/>
      <c r="AJ253" s="22"/>
      <c r="AK253" s="22"/>
      <c r="AL253" s="22"/>
      <c r="AM253" s="22"/>
      <c r="AN253" s="22"/>
      <c r="AO253" s="22"/>
      <c r="AP253" s="22"/>
      <c r="AQ253" s="22"/>
      <c r="AR253" s="22"/>
      <c r="AS253" s="22"/>
    </row>
    <row r="254" spans="1:45" x14ac:dyDescent="0.3">
      <c r="A254" s="22"/>
      <c r="B254" s="71"/>
      <c r="C254" s="22"/>
      <c r="D254" s="23"/>
      <c r="E254" s="22"/>
      <c r="F254" s="22"/>
      <c r="G254" s="22"/>
      <c r="H254" s="23"/>
      <c r="I254" s="22"/>
      <c r="J254" s="22"/>
      <c r="K254" s="22"/>
      <c r="L254" s="23"/>
      <c r="M254" s="71"/>
      <c r="N254" s="71"/>
      <c r="O254" s="22"/>
      <c r="P254" s="22"/>
      <c r="Q254" s="22"/>
      <c r="R254" s="71"/>
      <c r="AC254" s="22"/>
      <c r="AD254" s="22"/>
      <c r="AE254" s="22"/>
      <c r="AF254" s="22"/>
      <c r="AG254" s="22"/>
      <c r="AH254" s="22"/>
      <c r="AI254" s="22"/>
      <c r="AJ254" s="22"/>
      <c r="AK254" s="22"/>
      <c r="AL254" s="22"/>
      <c r="AM254" s="22"/>
      <c r="AN254" s="22"/>
      <c r="AO254" s="22"/>
      <c r="AP254" s="22"/>
      <c r="AQ254" s="22"/>
      <c r="AR254" s="22"/>
      <c r="AS254" s="22"/>
    </row>
  </sheetData>
  <sheetProtection algorithmName="SHA-512" hashValue="ELIdLjvZ5NMbIsR7IRw6enEbyDm6pVvTw1BP1L3O1GjJD+PgtQx/bWXBEuXr7o/kxF6ZMde3lLnKuyHmtxjQ7g==" saltValue="+Ydbh6rr8jtMgN8NO6+9iA=="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33:J35 C36:L50">
    <cfRule type="expression" dxfId="59" priority="5">
      <formula>INDEX(Status_Systeme,$A$2)=TRUE</formula>
    </cfRule>
  </conditionalFormatting>
  <conditionalFormatting sqref="C33:J35">
    <cfRule type="expression" dxfId="58" priority="4">
      <formula>AND(INDEX(Status_Systeme,$A$2)=TRUE,C33&lt;&gt;"")</formula>
    </cfRule>
    <cfRule type="expression" dxfId="57" priority="11">
      <formula>AND(INDEX(Status_Systeme,$A$2)=FALSE,C33="",$S33&gt;0,$S33&lt;3)</formula>
    </cfRule>
    <cfRule type="expression" dxfId="56" priority="14">
      <formula>AND(INDEX(Status_Systeme,$A$2)=FALSE,$S33=0)</formula>
    </cfRule>
  </conditionalFormatting>
  <conditionalFormatting sqref="C2:L6">
    <cfRule type="iconSet" priority="17">
      <iconSet iconSet="3Symbols" showValue="0">
        <cfvo type="percent" val="0"/>
        <cfvo type="num" val="1"/>
        <cfvo type="num" val="2"/>
      </iconSet>
    </cfRule>
  </conditionalFormatting>
  <conditionalFormatting sqref="C18:L32">
    <cfRule type="expression" dxfId="55" priority="2">
      <formula>INDEX(Status_Systeme,$A$2)=TRUE</formula>
    </cfRule>
  </conditionalFormatting>
  <conditionalFormatting sqref="C48:L50">
    <cfRule type="expression" dxfId="54" priority="10">
      <formula>EA_PV_Status=FALSE</formula>
    </cfRule>
  </conditionalFormatting>
  <conditionalFormatting sqref="G20:I31">
    <cfRule type="expression" dxfId="53" priority="12">
      <formula>AND(O20&lt;&gt;"",S20=FALSE)</formula>
    </cfRule>
    <cfRule type="expression" dxfId="52" priority="15">
      <formula>AND(INDEX(Status_Systeme,$A$2)=FALSE,G20="",S20=TRUE)</formula>
    </cfRule>
  </conditionalFormatting>
  <conditionalFormatting sqref="G20:I35 C33:F35 J33:J35">
    <cfRule type="expression" dxfId="51" priority="13">
      <formula>C20&lt;&gt;""</formula>
    </cfRule>
  </conditionalFormatting>
  <conditionalFormatting sqref="G44:I44">
    <cfRule type="expression" dxfId="50" priority="16">
      <formula>Basis_mod_HWB=TRUE</formula>
    </cfRule>
  </conditionalFormatting>
  <conditionalFormatting sqref="G45:I45">
    <cfRule type="expression" dxfId="49" priority="6">
      <formula>Basis_mod_WWWB=TRUE</formula>
    </cfRule>
  </conditionalFormatting>
  <conditionalFormatting sqref="J40">
    <cfRule type="expression" dxfId="48" priority="9">
      <formula>Basis_mod_Betrieb=TRUE</formula>
    </cfRule>
  </conditionalFormatting>
  <conditionalFormatting sqref="J44:J45">
    <cfRule type="expression" dxfId="47" priority="8">
      <formula>Basis_mod_Energiekosten=TRUE</formula>
    </cfRule>
  </conditionalFormatting>
  <conditionalFormatting sqref="J49:J50">
    <cfRule type="expression" dxfId="46" priority="7">
      <formula>Basis_mod_Energiekosten=TRUE</formula>
    </cfRule>
  </conditionalFormatting>
  <conditionalFormatting sqref="K33:L35">
    <cfRule type="expression" dxfId="45" priority="1">
      <formula>INDEX(Status_Systeme,$A$2)=TRUE</formula>
    </cfRule>
  </conditionalFormatting>
  <dataValidations count="3">
    <dataValidation type="whole" allowBlank="1" showInputMessage="1" showErrorMessage="1" sqref="A10" xr:uid="{00000000-0002-0000-0500-000000000000}">
      <formula1>0</formula1>
      <formula2>0</formula2>
    </dataValidation>
    <dataValidation type="whole" operator="greaterThan" allowBlank="1" showInputMessage="1" showErrorMessage="1" errorTitle="Ungültige Eingabe" error="Bitte geben Sie einen Betrag größer als 0 an." sqref="G20:I23 G25:I31 G33:I35" xr:uid="{00000000-0002-0000-0500-000001000000}">
      <formula1>0</formula1>
    </dataValidation>
    <dataValidation operator="greaterThan" allowBlank="1" showInputMessage="1" showErrorMessage="1" sqref="J40" xr:uid="{00000000-0002-0000-0500-000002000000}"/>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500-000003000000}">
          <x14:formula1>
            <xm:f>Auswahl!$E$3</xm:f>
          </x14:formula1>
          <x14:formula2>
            <xm:f>Auswahl!$E$4</xm:f>
          </x14:formula2>
          <xm:sqref>J33:J35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4">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74" customWidth="1"/>
    <col min="14" max="14" width="2.5703125" style="74" customWidth="1"/>
    <col min="15" max="15" width="26" style="20" customWidth="1"/>
    <col min="16" max="16" width="16.7109375" style="20" customWidth="1"/>
    <col min="17" max="17" width="30" style="20" customWidth="1"/>
    <col min="18" max="18" width="11.42578125" style="74"/>
    <col min="19" max="26" width="11.42578125" style="74" hidden="1" customWidth="1"/>
    <col min="27" max="28" width="11.42578125" style="74" customWidth="1"/>
    <col min="29" max="16384" width="11.42578125" style="20"/>
  </cols>
  <sheetData>
    <row r="1" spans="1:45" x14ac:dyDescent="0.3">
      <c r="A1" s="22"/>
      <c r="B1" s="71"/>
      <c r="C1" s="22"/>
      <c r="D1" s="23"/>
      <c r="E1" s="22"/>
      <c r="F1" s="22"/>
      <c r="G1" s="22"/>
      <c r="H1" s="23"/>
      <c r="I1" s="22"/>
      <c r="J1" s="22"/>
      <c r="K1" s="22"/>
      <c r="L1" s="23"/>
      <c r="M1" s="71"/>
      <c r="N1" s="71"/>
      <c r="O1" s="22"/>
      <c r="P1" s="22"/>
      <c r="Q1" s="22"/>
      <c r="R1" s="71"/>
      <c r="S1" s="71"/>
      <c r="T1" s="71"/>
      <c r="U1" s="71"/>
      <c r="V1" s="71"/>
      <c r="W1" s="71"/>
      <c r="X1" s="71"/>
      <c r="Y1" s="71"/>
      <c r="Z1" s="71"/>
      <c r="AA1" s="71"/>
      <c r="AB1" s="71"/>
      <c r="AC1" s="22"/>
      <c r="AD1" s="22"/>
      <c r="AE1" s="22"/>
      <c r="AF1" s="22"/>
      <c r="AG1" s="22"/>
      <c r="AH1" s="22"/>
      <c r="AI1" s="22"/>
      <c r="AJ1" s="22"/>
      <c r="AK1" s="22"/>
      <c r="AL1" s="22"/>
      <c r="AM1" s="22"/>
      <c r="AN1" s="22"/>
      <c r="AO1" s="22"/>
      <c r="AP1" s="22"/>
      <c r="AQ1" s="22"/>
      <c r="AR1" s="22"/>
      <c r="AS1" s="22"/>
    </row>
    <row r="2" spans="1:45" ht="18.75" customHeight="1" x14ac:dyDescent="0.3">
      <c r="A2" s="45">
        <v>5</v>
      </c>
      <c r="B2" s="77"/>
      <c r="C2" s="38" t="str">
        <f>" "&amp;INDEX(Auswahl!$G$2:$G$10,1+0)&amp;" | "&amp;INDEX(Auswahl!$H$2:$H$10,1+0)</f>
        <v xml:space="preserve"> A | Antragsformular</v>
      </c>
      <c r="D2" s="156">
        <f>IF(Auswahl!$I$2=TRUE,2,0)</f>
        <v>0</v>
      </c>
      <c r="E2" s="30"/>
      <c r="F2" s="38" t="str">
        <f>" "&amp;INDEX(Auswahl!$G$2:$G$10,1+3)&amp;" | "&amp;INDEX(Auswahl!$H$2:$H$10,1+3)</f>
        <v xml:space="preserve"> 2 | Pelletsanlage</v>
      </c>
      <c r="G2" s="44"/>
      <c r="H2" s="156">
        <f>IF(Auswahl!$I$5=TRUE,2,0)</f>
        <v>0</v>
      </c>
      <c r="I2" s="32"/>
      <c r="J2" s="39" t="str">
        <f>" "&amp;INDEX(Auswahl!$G$2:$G$10,1+6)&amp;" | "&amp;INDEX(Auswahl!$H$2:$H$10,1+6)</f>
        <v xml:space="preserve"> 5 | Wärmepumpe (Wasser)</v>
      </c>
      <c r="K2" s="151"/>
      <c r="L2" s="175">
        <f>IF(Auswahl!$I$8=TRUE,2,0)</f>
        <v>0</v>
      </c>
      <c r="M2" s="79"/>
      <c r="N2" s="79"/>
      <c r="O2" s="22"/>
      <c r="P2" s="22"/>
      <c r="Q2" s="22"/>
      <c r="R2" s="71"/>
      <c r="S2" s="71"/>
      <c r="T2" s="71"/>
      <c r="U2" s="71"/>
      <c r="V2" s="71"/>
      <c r="W2" s="71"/>
      <c r="X2" s="71"/>
      <c r="Y2" s="71"/>
      <c r="Z2" s="71"/>
      <c r="AA2" s="71"/>
      <c r="AB2" s="71"/>
      <c r="AC2" s="22"/>
      <c r="AD2" s="22"/>
      <c r="AE2" s="22"/>
      <c r="AF2" s="22"/>
      <c r="AG2" s="22"/>
      <c r="AH2" s="22"/>
      <c r="AI2" s="22"/>
      <c r="AJ2" s="22"/>
      <c r="AK2" s="22"/>
      <c r="AL2" s="22"/>
      <c r="AM2" s="22"/>
      <c r="AN2" s="22"/>
      <c r="AO2" s="22"/>
      <c r="AP2" s="22"/>
      <c r="AQ2" s="22"/>
      <c r="AR2" s="22"/>
      <c r="AS2" s="22"/>
    </row>
    <row r="3" spans="1:45" ht="3.75" customHeight="1" x14ac:dyDescent="0.3">
      <c r="A3" s="36"/>
      <c r="B3" s="77"/>
      <c r="C3" s="33"/>
      <c r="D3" s="27"/>
      <c r="E3" s="30"/>
      <c r="F3" s="34"/>
      <c r="G3" s="34"/>
      <c r="H3" s="153"/>
      <c r="I3" s="32"/>
      <c r="J3" s="33"/>
      <c r="K3" s="33"/>
      <c r="L3" s="153"/>
      <c r="M3" s="79"/>
      <c r="N3" s="79"/>
      <c r="O3" s="22"/>
      <c r="P3" s="22"/>
      <c r="Q3" s="22"/>
      <c r="R3" s="71"/>
      <c r="S3" s="71"/>
      <c r="T3" s="71"/>
      <c r="U3" s="71"/>
      <c r="V3" s="71"/>
      <c r="W3" s="71"/>
      <c r="X3" s="71"/>
      <c r="Y3" s="71"/>
      <c r="Z3" s="71"/>
      <c r="AA3" s="71"/>
      <c r="AB3" s="71"/>
      <c r="AC3" s="22"/>
      <c r="AD3" s="22"/>
      <c r="AE3" s="22"/>
      <c r="AF3" s="22"/>
      <c r="AG3" s="22"/>
      <c r="AH3" s="22"/>
      <c r="AI3" s="22"/>
      <c r="AJ3" s="22"/>
      <c r="AK3" s="22"/>
      <c r="AL3" s="22"/>
      <c r="AM3" s="22"/>
      <c r="AN3" s="22"/>
      <c r="AO3" s="22"/>
      <c r="AP3" s="22"/>
      <c r="AQ3" s="22"/>
      <c r="AR3" s="22"/>
      <c r="AS3" s="22"/>
    </row>
    <row r="4" spans="1:45" ht="18.75" customHeight="1" x14ac:dyDescent="0.3">
      <c r="A4" s="334" t="s">
        <v>78</v>
      </c>
      <c r="B4" s="77"/>
      <c r="C4" s="38" t="str">
        <f>" "&amp;INDEX(Auswahl!$G$2:$G$10,1+1)&amp;" | "&amp;INDEX(Auswahl!$H$2:$H$10,1+1)</f>
        <v xml:space="preserve"> 0 | Basisangaben</v>
      </c>
      <c r="D4" s="156">
        <f>IF(Auswahl!$I$3=TRUE,2,0)</f>
        <v>0</v>
      </c>
      <c r="E4" s="30"/>
      <c r="F4" s="38" t="str">
        <f>" "&amp;INDEX(Auswahl!$G$2:$G$10,1+4)&amp;" | "&amp;INDEX(Auswahl!$H$2:$H$10,1+4)</f>
        <v xml:space="preserve"> 3 | Nah- /Fernwärme (ern.)</v>
      </c>
      <c r="G4" s="44"/>
      <c r="H4" s="40">
        <f>IF(Auswahl!$I$6=TRUE,2,0)</f>
        <v>0</v>
      </c>
      <c r="I4" s="32"/>
      <c r="J4" s="38" t="str">
        <f>" "&amp;INDEX(Auswahl!$G$2:$G$10,1+7)&amp;" | "&amp;INDEX(Auswahl!$H$2:$H$10,1+7)</f>
        <v xml:space="preserve"> 6 | Wärmepumpe (Sole)</v>
      </c>
      <c r="K4" s="44"/>
      <c r="L4" s="156">
        <f>IF(Auswahl!$I$9=TRUE,2,0)</f>
        <v>0</v>
      </c>
      <c r="M4" s="80"/>
      <c r="N4" s="80"/>
      <c r="O4" s="335"/>
      <c r="P4" s="22"/>
      <c r="Q4" s="22"/>
      <c r="R4" s="71"/>
      <c r="S4" s="71"/>
      <c r="T4" s="71"/>
      <c r="U4" s="71"/>
      <c r="V4" s="71"/>
      <c r="W4" s="71"/>
      <c r="X4" s="71"/>
      <c r="Y4" s="71"/>
      <c r="Z4" s="71"/>
      <c r="AA4" s="71"/>
      <c r="AB4" s="71"/>
      <c r="AC4" s="22"/>
      <c r="AD4" s="22"/>
      <c r="AE4" s="22"/>
      <c r="AF4" s="22"/>
      <c r="AG4" s="22"/>
      <c r="AH4" s="22"/>
      <c r="AI4" s="22"/>
      <c r="AJ4" s="22"/>
      <c r="AK4" s="22"/>
      <c r="AL4" s="22"/>
      <c r="AM4" s="22"/>
      <c r="AN4" s="22"/>
      <c r="AO4" s="22"/>
      <c r="AP4" s="22"/>
      <c r="AQ4" s="22"/>
      <c r="AR4" s="22"/>
      <c r="AS4" s="22"/>
    </row>
    <row r="5" spans="1:45" ht="3.75" customHeight="1" x14ac:dyDescent="0.3">
      <c r="A5" s="334"/>
      <c r="B5" s="77"/>
      <c r="C5" s="33"/>
      <c r="D5" s="153"/>
      <c r="E5" s="30"/>
      <c r="F5" s="34"/>
      <c r="G5" s="34"/>
      <c r="H5" s="153"/>
      <c r="I5" s="32"/>
      <c r="J5" s="33"/>
      <c r="K5" s="33"/>
      <c r="L5" s="153"/>
      <c r="M5" s="80"/>
      <c r="N5" s="80"/>
      <c r="O5" s="335"/>
      <c r="P5" s="22"/>
      <c r="Q5" s="22"/>
      <c r="R5" s="71"/>
      <c r="S5" s="71"/>
      <c r="T5" s="71"/>
      <c r="U5" s="71"/>
      <c r="V5" s="71"/>
      <c r="W5" s="71"/>
      <c r="X5" s="71"/>
      <c r="Y5" s="71"/>
      <c r="Z5" s="71"/>
      <c r="AA5" s="71"/>
      <c r="AB5" s="71"/>
      <c r="AC5" s="22"/>
      <c r="AD5" s="22"/>
      <c r="AE5" s="22"/>
      <c r="AF5" s="22"/>
      <c r="AG5" s="22"/>
      <c r="AH5" s="22"/>
      <c r="AI5" s="22"/>
      <c r="AJ5" s="22"/>
      <c r="AK5" s="22"/>
      <c r="AL5" s="22"/>
      <c r="AM5" s="22"/>
      <c r="AN5" s="22"/>
      <c r="AO5" s="22"/>
      <c r="AP5" s="22"/>
      <c r="AQ5" s="22"/>
      <c r="AR5" s="22"/>
      <c r="AS5" s="22"/>
    </row>
    <row r="6" spans="1:45" ht="18.75" customHeight="1" x14ac:dyDescent="0.3">
      <c r="A6" s="334"/>
      <c r="B6" s="77"/>
      <c r="C6" s="38" t="str">
        <f>" "&amp;INDEX(Auswahl!$G$2:$G$10,1+2)&amp;" | "&amp;INDEX(Auswahl!$H$2:$H$10,1+2)</f>
        <v xml:space="preserve"> 1 | Bitte wählen…</v>
      </c>
      <c r="D6" s="156">
        <f>IF(Auswahl!$I$4=TRUE,2,0)</f>
        <v>0</v>
      </c>
      <c r="E6" s="30"/>
      <c r="F6" s="38" t="str">
        <f>" "&amp;INDEX(Auswahl!$G$2:$G$10,1+5)&amp;" | "&amp;INDEX(Auswahl!$H$2:$H$10,1+5)</f>
        <v xml:space="preserve"> 4 | Wärmepumpe (Luft)</v>
      </c>
      <c r="G6" s="179"/>
      <c r="H6" s="156">
        <f>IF(Auswahl!$I$7=TRUE,2,0)</f>
        <v>0</v>
      </c>
      <c r="I6" s="32"/>
      <c r="J6" s="38" t="str">
        <f>" "&amp;INDEX(Auswahl!$G$2:$G$10,1+8)&amp;" | "&amp;INDEX(Auswahl!$H$2:$H$10,1+8)</f>
        <v xml:space="preserve"> 7 | Rahmenbedingungen</v>
      </c>
      <c r="K6" s="44"/>
      <c r="L6" s="156">
        <f>IF(Auswahl!$I$10=TRUE,2,0)</f>
        <v>0</v>
      </c>
      <c r="M6" s="80"/>
      <c r="N6" s="80"/>
      <c r="O6" s="335"/>
      <c r="P6" s="22"/>
      <c r="Q6" s="22"/>
      <c r="R6" s="71"/>
      <c r="S6" s="71"/>
      <c r="T6" s="71"/>
      <c r="U6" s="71"/>
      <c r="V6" s="71"/>
      <c r="W6" s="71"/>
      <c r="X6" s="71"/>
      <c r="Y6" s="71"/>
      <c r="Z6" s="71"/>
      <c r="AA6" s="71"/>
      <c r="AB6" s="71"/>
      <c r="AC6" s="22"/>
      <c r="AD6" s="22"/>
      <c r="AE6" s="22"/>
      <c r="AF6" s="22"/>
      <c r="AG6" s="22"/>
      <c r="AH6" s="22"/>
      <c r="AI6" s="22"/>
      <c r="AJ6" s="22"/>
      <c r="AK6" s="22"/>
      <c r="AL6" s="22"/>
      <c r="AM6" s="22"/>
      <c r="AN6" s="22"/>
      <c r="AO6" s="22"/>
      <c r="AP6" s="22"/>
      <c r="AQ6" s="22"/>
      <c r="AR6" s="22"/>
      <c r="AS6" s="22"/>
    </row>
    <row r="7" spans="1:45" ht="6.75" customHeight="1" x14ac:dyDescent="0.3">
      <c r="A7" s="22"/>
      <c r="B7" s="71"/>
      <c r="C7" s="29"/>
      <c r="D7" s="153"/>
      <c r="E7" s="24"/>
      <c r="F7" s="29"/>
      <c r="G7" s="29"/>
      <c r="H7" s="153"/>
      <c r="I7" s="25"/>
      <c r="J7" s="29"/>
      <c r="K7" s="29"/>
      <c r="L7" s="153"/>
      <c r="M7" s="80"/>
      <c r="N7" s="80"/>
      <c r="O7" s="335"/>
      <c r="P7" s="22"/>
      <c r="Q7" s="22"/>
      <c r="R7" s="71"/>
      <c r="S7" s="71"/>
      <c r="T7" s="71"/>
      <c r="U7" s="71"/>
      <c r="V7" s="71"/>
      <c r="W7" s="71"/>
      <c r="X7" s="71"/>
      <c r="Y7" s="71"/>
      <c r="Z7" s="71"/>
      <c r="AA7" s="71"/>
      <c r="AB7" s="71"/>
      <c r="AC7" s="22"/>
      <c r="AD7" s="22"/>
      <c r="AE7" s="22"/>
      <c r="AF7" s="22"/>
      <c r="AG7" s="22"/>
      <c r="AH7" s="22"/>
      <c r="AI7" s="22"/>
      <c r="AJ7" s="22"/>
      <c r="AK7" s="22"/>
      <c r="AL7" s="22"/>
      <c r="AM7" s="22"/>
      <c r="AN7" s="22"/>
      <c r="AO7" s="22"/>
      <c r="AP7" s="22"/>
      <c r="AQ7" s="22"/>
      <c r="AR7" s="22"/>
      <c r="AS7" s="22"/>
    </row>
    <row r="8" spans="1:45" ht="12.75" customHeight="1" x14ac:dyDescent="0.3">
      <c r="A8" s="22"/>
      <c r="B8" s="78"/>
      <c r="C8" s="35"/>
      <c r="D8" s="31"/>
      <c r="E8" s="24"/>
      <c r="F8" s="24"/>
      <c r="G8" s="24"/>
      <c r="H8" s="31"/>
      <c r="I8" s="24"/>
      <c r="J8" s="24"/>
      <c r="K8" s="24"/>
      <c r="L8" s="31"/>
      <c r="M8" s="78"/>
      <c r="N8" s="78"/>
      <c r="O8" s="22"/>
      <c r="P8" s="22"/>
      <c r="Q8" s="22"/>
      <c r="R8" s="71"/>
      <c r="S8" s="71"/>
      <c r="T8" s="71"/>
      <c r="U8" s="71"/>
      <c r="V8" s="71"/>
      <c r="W8" s="71"/>
      <c r="X8" s="71"/>
      <c r="Y8" s="71"/>
      <c r="Z8" s="71"/>
      <c r="AA8" s="71"/>
      <c r="AB8" s="71"/>
      <c r="AC8" s="22"/>
      <c r="AD8" s="22"/>
      <c r="AE8" s="22"/>
      <c r="AF8" s="22"/>
      <c r="AG8" s="22"/>
      <c r="AH8" s="22"/>
      <c r="AI8" s="22"/>
      <c r="AJ8" s="22"/>
      <c r="AK8" s="22"/>
      <c r="AL8" s="22"/>
      <c r="AM8" s="22"/>
      <c r="AN8" s="22"/>
      <c r="AO8" s="22"/>
      <c r="AP8" s="22"/>
      <c r="AQ8" s="22"/>
      <c r="AR8" s="22"/>
      <c r="AS8" s="22"/>
    </row>
    <row r="9" spans="1:45" ht="3.75" customHeight="1" x14ac:dyDescent="0.3">
      <c r="A9" s="22"/>
      <c r="N9" s="71"/>
      <c r="O9" s="22"/>
      <c r="P9" s="22"/>
      <c r="Q9" s="22"/>
      <c r="R9" s="71"/>
      <c r="S9" s="71"/>
      <c r="T9" s="71"/>
      <c r="U9" s="71"/>
      <c r="V9" s="71"/>
      <c r="W9" s="71"/>
      <c r="X9" s="71"/>
      <c r="Y9" s="71"/>
      <c r="Z9" s="71"/>
      <c r="AA9" s="71"/>
      <c r="AB9" s="71"/>
      <c r="AC9" s="22"/>
      <c r="AD9" s="22"/>
      <c r="AE9" s="22"/>
      <c r="AF9" s="22"/>
      <c r="AG9" s="22"/>
      <c r="AH9" s="22"/>
      <c r="AI9" s="22"/>
      <c r="AJ9" s="22"/>
      <c r="AK9" s="22"/>
      <c r="AL9" s="22"/>
      <c r="AM9" s="22"/>
      <c r="AN9" s="22"/>
      <c r="AO9" s="22"/>
      <c r="AP9" s="22"/>
      <c r="AQ9" s="22"/>
      <c r="AR9" s="22"/>
      <c r="AS9" s="22"/>
    </row>
    <row r="10" spans="1:45" ht="20.25" x14ac:dyDescent="0.3">
      <c r="A10" s="277"/>
      <c r="C10" s="46" t="str">
        <f>$A$2&amp;". SYSTEM: "&amp;UPPER(VLOOKUP($A$2,Navigation,2,FALSE))</f>
        <v>5. SYSTEM: WÄRMEPUMPE (WASSER)</v>
      </c>
      <c r="D10" s="47"/>
      <c r="E10" s="48"/>
      <c r="F10" s="48"/>
      <c r="G10" s="48"/>
      <c r="H10" s="48"/>
      <c r="I10" s="48"/>
      <c r="J10" s="400" t="str">
        <f>IF(Auswahl!$I$8=TRUE,"",UPPER("unvollständig"))</f>
        <v>UNVOLLSTÄNDIG</v>
      </c>
      <c r="K10" s="400"/>
      <c r="L10" s="400"/>
      <c r="M10" s="76"/>
      <c r="N10" s="78"/>
      <c r="O10" s="24"/>
      <c r="P10" s="22"/>
      <c r="Q10" s="22"/>
      <c r="R10" s="71"/>
      <c r="S10" s="71"/>
      <c r="T10" s="71"/>
      <c r="U10" s="101"/>
      <c r="V10" s="71"/>
      <c r="W10" s="71"/>
      <c r="X10" s="102"/>
      <c r="Y10" s="71"/>
      <c r="Z10" s="71"/>
      <c r="AA10" s="71"/>
      <c r="AB10" s="71"/>
      <c r="AC10" s="22"/>
      <c r="AD10" s="22"/>
      <c r="AE10" s="22"/>
      <c r="AF10" s="22"/>
      <c r="AG10" s="22"/>
      <c r="AH10" s="22"/>
      <c r="AI10" s="22"/>
      <c r="AJ10" s="22"/>
      <c r="AK10" s="22"/>
      <c r="AL10" s="22"/>
      <c r="AM10" s="22"/>
      <c r="AN10" s="22"/>
      <c r="AO10" s="22"/>
      <c r="AP10" s="22"/>
      <c r="AQ10" s="22"/>
      <c r="AR10" s="22"/>
      <c r="AS10" s="22"/>
    </row>
    <row r="11" spans="1:45" x14ac:dyDescent="0.3">
      <c r="A11" s="22"/>
      <c r="C11" s="48"/>
      <c r="D11" s="48"/>
      <c r="E11" s="48"/>
      <c r="F11" s="48"/>
      <c r="G11" s="48"/>
      <c r="H11" s="48"/>
      <c r="I11" s="48"/>
      <c r="J11" s="48"/>
      <c r="K11" s="48"/>
      <c r="L11" s="49"/>
      <c r="M11" s="76"/>
      <c r="N11" s="78"/>
      <c r="O11" s="24"/>
      <c r="P11" s="22"/>
      <c r="Q11" s="22"/>
      <c r="R11" s="71"/>
      <c r="S11" s="71"/>
      <c r="T11" s="71"/>
      <c r="U11" s="101"/>
      <c r="V11" s="71"/>
      <c r="W11" s="71"/>
      <c r="X11" s="71"/>
      <c r="Y11" s="71"/>
      <c r="Z11" s="71"/>
      <c r="AA11" s="71"/>
      <c r="AB11" s="71"/>
      <c r="AC11" s="22"/>
      <c r="AD11" s="22"/>
      <c r="AE11" s="22"/>
      <c r="AF11" s="22"/>
      <c r="AG11" s="22"/>
      <c r="AH11" s="22"/>
      <c r="AI11" s="22"/>
      <c r="AJ11" s="22"/>
      <c r="AK11" s="22"/>
      <c r="AL11" s="22"/>
      <c r="AM11" s="22"/>
      <c r="AN11" s="22"/>
      <c r="AO11" s="22"/>
      <c r="AP11" s="22"/>
      <c r="AQ11" s="22"/>
      <c r="AR11" s="22"/>
      <c r="AS11" s="22"/>
    </row>
    <row r="12" spans="1:45" x14ac:dyDescent="0.3">
      <c r="A12" s="190"/>
      <c r="C12" s="47" t="str">
        <f>$A$2&amp;".1 "&amp;UPPER(INDEX(Auswahl!$P$2:$P$6,1))</f>
        <v>5.1 AUSSCHLUSSGRÜNDE</v>
      </c>
      <c r="D12" s="47"/>
      <c r="E12" s="48"/>
      <c r="F12" s="48"/>
      <c r="G12" s="48"/>
      <c r="H12" s="48"/>
      <c r="I12" s="48"/>
      <c r="J12" s="48"/>
      <c r="K12" s="48"/>
      <c r="L12" s="48"/>
      <c r="M12" s="66"/>
      <c r="N12" s="189"/>
      <c r="O12" s="24"/>
      <c r="P12" s="22"/>
      <c r="Q12" s="22"/>
      <c r="R12" s="71"/>
      <c r="S12" s="71"/>
      <c r="T12" s="71"/>
      <c r="U12" s="101"/>
      <c r="V12" s="71"/>
      <c r="W12" s="71"/>
      <c r="X12" s="71"/>
      <c r="Y12" s="71"/>
      <c r="Z12" s="71"/>
      <c r="AA12" s="71"/>
      <c r="AB12" s="71"/>
      <c r="AC12" s="22"/>
      <c r="AD12" s="22"/>
      <c r="AE12" s="22"/>
      <c r="AF12" s="22"/>
      <c r="AG12" s="22"/>
      <c r="AH12" s="22"/>
      <c r="AI12" s="22"/>
      <c r="AJ12" s="22"/>
      <c r="AK12" s="22"/>
      <c r="AL12" s="22"/>
      <c r="AM12" s="22"/>
      <c r="AN12" s="22"/>
      <c r="AO12" s="22"/>
      <c r="AP12" s="22"/>
      <c r="AQ12" s="22"/>
      <c r="AR12" s="22"/>
      <c r="AS12" s="22"/>
    </row>
    <row r="13" spans="1:45" ht="7.5" customHeight="1" x14ac:dyDescent="0.3">
      <c r="A13" s="190"/>
      <c r="C13" s="48"/>
      <c r="D13" s="48"/>
      <c r="E13" s="48"/>
      <c r="F13" s="48"/>
      <c r="G13" s="48"/>
      <c r="H13" s="48"/>
      <c r="I13" s="48"/>
      <c r="J13" s="48"/>
      <c r="K13" s="48"/>
      <c r="L13" s="49"/>
      <c r="M13" s="76"/>
      <c r="N13" s="78"/>
      <c r="O13" s="24"/>
      <c r="P13" s="22"/>
      <c r="Q13" s="22"/>
      <c r="R13" s="71"/>
      <c r="S13" s="71"/>
      <c r="T13" s="71"/>
      <c r="U13" s="71"/>
      <c r="V13" s="71"/>
      <c r="W13" s="71"/>
      <c r="X13" s="71"/>
      <c r="Y13" s="71"/>
      <c r="Z13" s="71"/>
      <c r="AA13" s="71"/>
      <c r="AB13" s="71"/>
      <c r="AC13" s="22"/>
      <c r="AD13" s="22"/>
      <c r="AE13" s="22"/>
      <c r="AF13" s="22"/>
      <c r="AG13" s="22"/>
      <c r="AH13" s="22"/>
      <c r="AI13" s="22"/>
      <c r="AJ13" s="22"/>
      <c r="AK13" s="22"/>
      <c r="AL13" s="22"/>
      <c r="AM13" s="22"/>
      <c r="AN13" s="22"/>
      <c r="AO13" s="22"/>
      <c r="AP13" s="22"/>
      <c r="AQ13" s="22"/>
      <c r="AR13" s="22"/>
      <c r="AS13" s="22"/>
    </row>
    <row r="14" spans="1:45" x14ac:dyDescent="0.3">
      <c r="A14" s="190"/>
      <c r="C14" s="51" t="s">
        <v>318</v>
      </c>
      <c r="D14" s="48"/>
      <c r="E14" s="48"/>
      <c r="F14" s="48"/>
      <c r="G14" s="48"/>
      <c r="H14" s="48"/>
      <c r="I14" s="48"/>
      <c r="J14" s="48"/>
      <c r="K14" s="48"/>
      <c r="L14" s="49"/>
      <c r="M14" s="76"/>
      <c r="N14" s="78"/>
      <c r="O14" s="30"/>
      <c r="P14" s="22"/>
      <c r="Q14" s="22"/>
      <c r="R14" s="71"/>
      <c r="S14" s="71"/>
      <c r="T14" s="71"/>
      <c r="U14" s="71"/>
      <c r="V14" s="71"/>
      <c r="W14" s="71"/>
      <c r="X14" s="71"/>
      <c r="Y14" s="71"/>
      <c r="Z14" s="71"/>
      <c r="AA14" s="71"/>
      <c r="AB14" s="71"/>
      <c r="AC14" s="22"/>
      <c r="AD14" s="22"/>
      <c r="AE14" s="22"/>
      <c r="AF14" s="22"/>
      <c r="AG14" s="22"/>
      <c r="AH14" s="22"/>
      <c r="AI14" s="22"/>
      <c r="AJ14" s="22"/>
      <c r="AK14" s="22"/>
      <c r="AL14" s="22"/>
      <c r="AM14" s="22"/>
      <c r="AN14" s="22"/>
      <c r="AO14" s="22"/>
      <c r="AP14" s="22"/>
      <c r="AQ14" s="22"/>
      <c r="AR14" s="22"/>
      <c r="AS14" s="22"/>
    </row>
    <row r="15" spans="1:45" x14ac:dyDescent="0.3">
      <c r="A15" s="190"/>
      <c r="C15" s="51" t="s">
        <v>319</v>
      </c>
      <c r="D15" s="48"/>
      <c r="E15" s="48"/>
      <c r="F15" s="48"/>
      <c r="G15" s="48"/>
      <c r="H15" s="48"/>
      <c r="I15" s="48"/>
      <c r="J15" s="48"/>
      <c r="K15" s="48"/>
      <c r="L15" s="49"/>
      <c r="M15" s="76"/>
      <c r="N15" s="78"/>
      <c r="O15" s="30"/>
      <c r="P15" s="22"/>
      <c r="Q15" s="187"/>
      <c r="R15" s="71"/>
      <c r="S15" s="71"/>
      <c r="T15" s="71"/>
      <c r="U15" s="71"/>
      <c r="V15" s="71"/>
      <c r="W15" s="71"/>
      <c r="X15" s="71"/>
      <c r="Y15" s="71"/>
      <c r="Z15" s="71"/>
      <c r="AA15" s="71"/>
      <c r="AB15" s="71"/>
      <c r="AC15" s="22"/>
      <c r="AD15" s="22"/>
      <c r="AE15" s="22"/>
      <c r="AF15" s="22"/>
      <c r="AG15" s="22"/>
      <c r="AH15" s="22"/>
      <c r="AI15" s="22"/>
      <c r="AJ15" s="22"/>
      <c r="AK15" s="22"/>
      <c r="AL15" s="22"/>
      <c r="AM15" s="22"/>
      <c r="AN15" s="22"/>
      <c r="AO15" s="22"/>
      <c r="AP15" s="22"/>
      <c r="AQ15" s="22"/>
      <c r="AR15" s="22"/>
      <c r="AS15" s="22"/>
    </row>
    <row r="16" spans="1:45" ht="7.5" customHeight="1" x14ac:dyDescent="0.3">
      <c r="A16" s="190"/>
      <c r="C16" s="48"/>
      <c r="D16" s="48"/>
      <c r="E16" s="48"/>
      <c r="F16" s="48"/>
      <c r="G16" s="48"/>
      <c r="H16" s="48"/>
      <c r="I16" s="48"/>
      <c r="J16" s="48"/>
      <c r="K16" s="48"/>
      <c r="L16" s="49"/>
      <c r="M16" s="76"/>
      <c r="N16" s="78"/>
      <c r="O16" s="30"/>
      <c r="P16" s="22"/>
      <c r="Q16" s="22"/>
      <c r="R16" s="71"/>
      <c r="S16" s="71"/>
      <c r="T16" s="71"/>
      <c r="U16" s="71"/>
      <c r="V16" s="71"/>
      <c r="W16" s="71"/>
      <c r="X16" s="71"/>
      <c r="Y16" s="71"/>
      <c r="Z16" s="71"/>
      <c r="AA16" s="71"/>
      <c r="AB16" s="71"/>
      <c r="AC16" s="22"/>
      <c r="AD16" s="22"/>
      <c r="AE16" s="22"/>
      <c r="AF16" s="22"/>
      <c r="AG16" s="22"/>
      <c r="AH16" s="22"/>
      <c r="AI16" s="22"/>
      <c r="AJ16" s="22"/>
      <c r="AK16" s="22"/>
      <c r="AL16" s="22"/>
      <c r="AM16" s="22"/>
      <c r="AN16" s="22"/>
      <c r="AO16" s="22"/>
      <c r="AP16" s="22"/>
      <c r="AQ16" s="22"/>
      <c r="AR16" s="22"/>
      <c r="AS16" s="22"/>
    </row>
    <row r="17" spans="1:45" ht="42.75" customHeight="1" x14ac:dyDescent="0.3">
      <c r="A17" s="190"/>
      <c r="C17" s="393" t="str">
        <f>IF(A2=1,TBS_Systeme_4,TBS_Systeme_1&amp;VLOOKUP($A$2,Navigation,2,FALSE)&amp;IF(AND(VLOOKUP($A$2,Navigation,4,FALSE)=FALSE,VLOOKUP($A$2,Navigation,5,FALSE)=FALSE),TBS_Systeme_2,TBS_Systeme_3))</f>
        <v>Die Verwendung einer Wärmepumpe (Wasser) ist technisch und rechtlich möglich. Bitte mit der Wirtschaftlichkeitsberechnung fortfahren.</v>
      </c>
      <c r="D17" s="393"/>
      <c r="E17" s="393"/>
      <c r="F17" s="393"/>
      <c r="G17" s="393"/>
      <c r="H17" s="393"/>
      <c r="I17" s="393"/>
      <c r="J17" s="393"/>
      <c r="K17" s="393"/>
      <c r="L17" s="393"/>
      <c r="M17" s="76"/>
      <c r="N17" s="78"/>
      <c r="O17" s="267"/>
      <c r="P17" s="54"/>
      <c r="Q17" s="54"/>
      <c r="R17" s="71"/>
      <c r="S17" s="71"/>
      <c r="T17" s="71"/>
      <c r="U17" s="71"/>
      <c r="V17" s="71"/>
      <c r="W17" s="71"/>
      <c r="X17" s="71"/>
      <c r="Y17" s="71"/>
      <c r="Z17" s="71"/>
      <c r="AA17" s="71"/>
      <c r="AB17" s="71"/>
      <c r="AC17" s="22"/>
      <c r="AD17" s="22"/>
      <c r="AE17" s="22"/>
      <c r="AF17" s="22"/>
      <c r="AG17" s="22"/>
      <c r="AH17" s="22"/>
      <c r="AI17" s="22"/>
      <c r="AJ17" s="22"/>
      <c r="AK17" s="22"/>
      <c r="AL17" s="22"/>
      <c r="AM17" s="22"/>
      <c r="AN17" s="22"/>
      <c r="AO17" s="22"/>
      <c r="AP17" s="22"/>
      <c r="AQ17" s="22"/>
      <c r="AR17" s="22"/>
      <c r="AS17" s="22"/>
    </row>
    <row r="18" spans="1:45" ht="16.5" customHeight="1" x14ac:dyDescent="0.3">
      <c r="A18" s="22"/>
      <c r="B18" s="75"/>
      <c r="C18" s="425" t="str">
        <f>IF(INDEX(Status_Systeme,$A$2)=TRUE,"",$A$2&amp;".2 "&amp;UPPER(INDEX(Auswahl!$P$2:$P$6,2)))</f>
        <v>5.2 INVESTITIONSKOSTEN</v>
      </c>
      <c r="D18" s="425"/>
      <c r="E18" s="425"/>
      <c r="F18" s="425"/>
      <c r="G18" s="410" t="str">
        <f>IF(INDEX(Status_Systeme,$A$2)=TRUE,"","Invest-Kosten¹"&amp;CHAR(10)&amp;"[€]")</f>
        <v>Invest-Kosten¹
[€]</v>
      </c>
      <c r="H18" s="410"/>
      <c r="I18" s="410"/>
      <c r="J18" s="410" t="str">
        <f>IF(INDEX(Status_Systeme,$A$2)=TRUE,"","Nutzung"&amp;CHAR(10)&amp;"t [a]")</f>
        <v>Nutzung
t [a]</v>
      </c>
      <c r="K18" s="408" t="str">
        <f>IF(INDEX(Status_Systeme,$A$2)=TRUE,"","Gesamtkosten"&amp;CHAR(2)&amp;CHAR(10)&amp;"nach "&amp;Basis_Betrachtungszeitraum&amp;"a [€]"&amp;CHAR(2))</f>
        <v>Gesamtkosten_x0002_
nach 20a [€]_x0002_</v>
      </c>
      <c r="L18" s="408"/>
      <c r="M18" s="76"/>
      <c r="N18" s="78"/>
      <c r="O18" s="266"/>
      <c r="P18" s="22"/>
      <c r="Q18" s="22"/>
      <c r="R18" s="71"/>
      <c r="S18" s="70" t="s">
        <v>211</v>
      </c>
      <c r="T18" s="404" t="s">
        <v>4</v>
      </c>
      <c r="U18" s="404"/>
      <c r="V18" s="404"/>
      <c r="W18" s="404"/>
      <c r="X18" s="404" t="s">
        <v>2</v>
      </c>
      <c r="Y18" s="404"/>
      <c r="Z18" s="70" t="s">
        <v>355</v>
      </c>
      <c r="AA18" s="71"/>
      <c r="AB18" s="71"/>
      <c r="AC18" s="22"/>
      <c r="AD18" s="22"/>
      <c r="AE18" s="22"/>
      <c r="AF18" s="22"/>
      <c r="AG18" s="22"/>
      <c r="AH18" s="22"/>
      <c r="AI18" s="22"/>
      <c r="AJ18" s="22"/>
      <c r="AK18" s="22"/>
      <c r="AL18" s="22"/>
      <c r="AM18" s="22"/>
      <c r="AN18" s="22"/>
      <c r="AO18" s="22"/>
      <c r="AP18" s="22"/>
      <c r="AQ18" s="22"/>
      <c r="AR18" s="22"/>
      <c r="AS18" s="22"/>
    </row>
    <row r="19" spans="1:45" ht="21" customHeight="1" x14ac:dyDescent="0.3">
      <c r="A19" s="22"/>
      <c r="B19" s="75"/>
      <c r="C19" s="426" t="str">
        <f>IF(INDEX(Status_Systeme,$A$2)=TRUE,"","A | ANLAGENTEILE")</f>
        <v>A | ANLAGENTEILE</v>
      </c>
      <c r="D19" s="426"/>
      <c r="E19" s="426"/>
      <c r="F19" s="426"/>
      <c r="G19" s="411"/>
      <c r="H19" s="411"/>
      <c r="I19" s="411"/>
      <c r="J19" s="411"/>
      <c r="K19" s="409"/>
      <c r="L19" s="409"/>
      <c r="M19" s="76"/>
      <c r="N19" s="78"/>
      <c r="O19" s="30"/>
      <c r="P19" s="22"/>
      <c r="Q19" s="22"/>
      <c r="R19" s="71"/>
      <c r="S19" s="71"/>
      <c r="T19" s="70" t="s">
        <v>361</v>
      </c>
      <c r="U19" s="70" t="s">
        <v>359</v>
      </c>
      <c r="V19" s="70" t="s">
        <v>360</v>
      </c>
      <c r="W19" s="70" t="s">
        <v>358</v>
      </c>
      <c r="X19" s="70" t="s">
        <v>362</v>
      </c>
      <c r="Y19" s="70" t="s">
        <v>358</v>
      </c>
      <c r="Z19" s="70" t="s">
        <v>358</v>
      </c>
      <c r="AA19" s="71"/>
      <c r="AB19" s="71"/>
      <c r="AC19" s="22"/>
      <c r="AD19" s="22"/>
      <c r="AE19" s="22"/>
      <c r="AF19" s="22"/>
      <c r="AG19" s="22"/>
      <c r="AH19" s="22"/>
      <c r="AI19" s="22"/>
      <c r="AJ19" s="22"/>
      <c r="AK19" s="22"/>
      <c r="AL19" s="22"/>
      <c r="AM19" s="22"/>
      <c r="AN19" s="22"/>
      <c r="AO19" s="22"/>
      <c r="AP19" s="22"/>
      <c r="AQ19" s="22"/>
      <c r="AR19" s="22"/>
      <c r="AS19" s="22"/>
    </row>
    <row r="20" spans="1:45" ht="16.5" customHeight="1" x14ac:dyDescent="0.3">
      <c r="A20" s="22"/>
      <c r="B20" s="184" t="str">
        <f>IF(O20="","","!")</f>
        <v>!</v>
      </c>
      <c r="C20" s="420" t="str">
        <f>IF(INDEX(Status_Systeme,$A$2)=TRUE,"",IF(Basis_WW_dezentral=TRUE,Tabellen!AT5,Tabellen!AT4))</f>
        <v>Warmwasserbereitung</v>
      </c>
      <c r="D20" s="420"/>
      <c r="E20" s="420"/>
      <c r="F20" s="420"/>
      <c r="G20" s="406"/>
      <c r="H20" s="406"/>
      <c r="I20" s="406"/>
      <c r="J20" s="60">
        <f>IF(C20="","",VLOOKUP(C20,Tabelle_Kosten_Komponenten,2,FALSE))</f>
        <v>30</v>
      </c>
      <c r="K20" s="405" t="str">
        <f>IF(OR(C20="",G20="",J20=""),"",Z20+W20-Y20)</f>
        <v/>
      </c>
      <c r="L20" s="405"/>
      <c r="M20" s="76"/>
      <c r="N20" s="178" t="str">
        <f>IF(O20="","","ï")</f>
        <v>ï</v>
      </c>
      <c r="O20" s="268" t="str">
        <f>IF(S20=TRUE,"",IF(LEN(C20)&gt;0,IF(G20="",TBS_Fehler_2,""),IF(G20="","",TBS_Fehler_3)))</f>
        <v>Bitte dieses Feld (roter Bereich = Pflichtfeld) ausfüllen!</v>
      </c>
      <c r="P20" s="272"/>
      <c r="Q20" s="22"/>
      <c r="R20" s="71"/>
      <c r="S20" s="72" t="b">
        <f>ISERROR(FIND("optional",C20))=FALSE</f>
        <v>0</v>
      </c>
      <c r="T20" s="72">
        <f>IF((Basis_Betrachtungszeitraum/J20)&lt;=1,0,IF((Basis_Betrachtungszeitraum/J20)&lt;=2,1,2))</f>
        <v>0</v>
      </c>
      <c r="U20" s="326">
        <f>IF(T20&lt;1,0,G20*IF($A$2=1,1,(1-Basis_Foerderung))*(1+Basis_Preisentwicklung_Produkte)^J20)</f>
        <v>0</v>
      </c>
      <c r="V20" s="326">
        <f>IF(T20&gt;1,G20*IF($A$2=1,1,(1-Basis_Foerderung))*(1+Basis_Preisentwicklung_Produkte)^(2*J20),0)</f>
        <v>0</v>
      </c>
      <c r="W20" s="326">
        <f>U20*(1/(1+Basis_Realzins))^J20+V20*(1/(1+Basis_Realzins))^(2*J20)</f>
        <v>0</v>
      </c>
      <c r="X20" s="73">
        <f>IF((INT(Basis_Betrachtungszeitraum/J20)=Basis_Betrachtungszeitraum/J20),1,(J20*(T20+1)-Basis_Betrachtungszeitraum)/J20)</f>
        <v>0.33333333333333331</v>
      </c>
      <c r="Y20" s="326">
        <f>IF(X20=1,0,IF(T20=0,G20*IF($A$2=1,1,(1-Basis_Foerderung)),INDEX(U20:V20,1,T20))*Basis_Diskontsatz*X20)</f>
        <v>0</v>
      </c>
      <c r="Z20" s="326">
        <f>G20*IF($A$2=1,1,(1-Basis_Foerderung))</f>
        <v>0</v>
      </c>
      <c r="AA20" s="71"/>
      <c r="AB20" s="71"/>
      <c r="AC20" s="22"/>
      <c r="AD20" s="22"/>
      <c r="AE20" s="22"/>
      <c r="AF20" s="22"/>
      <c r="AG20" s="22"/>
      <c r="AH20" s="22"/>
      <c r="AI20" s="22"/>
      <c r="AJ20" s="22"/>
      <c r="AK20" s="22"/>
      <c r="AL20" s="22"/>
      <c r="AM20" s="22"/>
      <c r="AN20" s="22"/>
      <c r="AO20" s="22"/>
      <c r="AP20" s="22"/>
      <c r="AQ20" s="22"/>
      <c r="AR20" s="22"/>
      <c r="AS20" s="22"/>
    </row>
    <row r="21" spans="1:45" x14ac:dyDescent="0.3">
      <c r="A21" s="22"/>
      <c r="B21" s="184" t="str">
        <f>IF(O21="","","!")</f>
        <v>!</v>
      </c>
      <c r="C21" s="420" t="str">
        <f>IF(INDEX(Status_Systeme,$A$2)=TRUE,"",IF(INDEX(Tabelle_Komponenten,1,11)="","",INDEX(Tabelle_Komponenten,1,11)))</f>
        <v>Wärmepumpe</v>
      </c>
      <c r="D21" s="420"/>
      <c r="E21" s="420"/>
      <c r="F21" s="420"/>
      <c r="G21" s="406"/>
      <c r="H21" s="406"/>
      <c r="I21" s="406"/>
      <c r="J21" s="60">
        <f>IF(C21="","",VLOOKUP(C21,Tabelle_Kosten_Komponenten,2,FALSE))</f>
        <v>30</v>
      </c>
      <c r="K21" s="405" t="str">
        <f t="shared" ref="K21:K23" si="0">IF(OR(C21="",G21="",J21=""),"",Z21+W21-Y21)</f>
        <v/>
      </c>
      <c r="L21" s="405"/>
      <c r="M21" s="76"/>
      <c r="N21" s="178" t="str">
        <f>IF(O21="","","ï")</f>
        <v>ï</v>
      </c>
      <c r="O21" s="268" t="str">
        <f>IF(S21=TRUE,"",IF(LEN(C21)&gt;0,IF(G21="",TBS_Fehler_2,""),IF(G21="","",TBS_Fehler_3)))</f>
        <v>Bitte dieses Feld (roter Bereich = Pflichtfeld) ausfüllen!</v>
      </c>
      <c r="P21" s="22"/>
      <c r="Q21" s="22"/>
      <c r="R21" s="71"/>
      <c r="S21" s="72" t="b">
        <f>ISERROR(FIND("optional",C21))=FALSE</f>
        <v>0</v>
      </c>
      <c r="T21" s="72">
        <f>IF((Basis_Betrachtungszeitraum/J21)&lt;=1,0,IF((Basis_Betrachtungszeitraum/J21)&lt;=2,1,2))</f>
        <v>0</v>
      </c>
      <c r="U21" s="326">
        <f>IF(T21&lt;1,0,G21*IF($A$2=1,1,(1-Basis_Foerderung))*(1+Basis_Preisentwicklung_Produkte)^J21)</f>
        <v>0</v>
      </c>
      <c r="V21" s="326">
        <f>IF(T21&gt;1,G21*IF($A$2=1,1,(1-Basis_Foerderung))*(1+Basis_Preisentwicklung_Produkte)^(2*J21),0)</f>
        <v>0</v>
      </c>
      <c r="W21" s="326">
        <f>U21*(1/(1+Basis_Realzins))^J21+V21*(1/(1+Basis_Realzins))^(2*J21)</f>
        <v>0</v>
      </c>
      <c r="X21" s="73">
        <f>IF((INT(Basis_Betrachtungszeitraum/J21)=Basis_Betrachtungszeitraum/J21),1,(J21*(T21+1)-Basis_Betrachtungszeitraum)/J21)</f>
        <v>0.33333333333333331</v>
      </c>
      <c r="Y21" s="326">
        <f>IF(X21=1,0,IF(T21=0,G21*IF($A$2=1,1,(1-Basis_Foerderung)),INDEX(U21:V21,1,T21))*Basis_Diskontsatz*X21)</f>
        <v>0</v>
      </c>
      <c r="Z21" s="326">
        <f>G21*IF($A$2=1,1,(1-Basis_Foerderung))</f>
        <v>0</v>
      </c>
      <c r="AA21" s="71"/>
      <c r="AB21" s="71"/>
      <c r="AC21" s="22"/>
      <c r="AD21" s="22"/>
      <c r="AE21" s="22"/>
      <c r="AF21" s="22"/>
      <c r="AG21" s="22"/>
      <c r="AH21" s="22"/>
      <c r="AI21" s="22"/>
      <c r="AJ21" s="22"/>
      <c r="AK21" s="22"/>
      <c r="AL21" s="22"/>
      <c r="AM21" s="22"/>
      <c r="AN21" s="22"/>
      <c r="AO21" s="22"/>
      <c r="AP21" s="22"/>
      <c r="AQ21" s="22"/>
      <c r="AR21" s="22"/>
      <c r="AS21" s="22"/>
    </row>
    <row r="22" spans="1:45" x14ac:dyDescent="0.3">
      <c r="A22" s="22"/>
      <c r="B22" s="184" t="str">
        <f>IF(O22="","","!")</f>
        <v/>
      </c>
      <c r="C22" s="420" t="str">
        <f>IF(INDEX(Status_Systeme,$A$2)=TRUE,"",IF(INDEX(Tabelle_Komponenten,2,11)="","",INDEX(Tabelle_Komponenten,2,11)))</f>
        <v/>
      </c>
      <c r="D22" s="420"/>
      <c r="E22" s="420"/>
      <c r="F22" s="420"/>
      <c r="G22" s="406"/>
      <c r="H22" s="406"/>
      <c r="I22" s="406"/>
      <c r="J22" s="58" t="str">
        <f>IF(C22="","",VLOOKUP(C22,Tabelle_Kosten_Komponenten,2,FALSE))</f>
        <v/>
      </c>
      <c r="K22" s="405" t="str">
        <f t="shared" si="0"/>
        <v/>
      </c>
      <c r="L22" s="405"/>
      <c r="M22" s="76"/>
      <c r="N22" s="178" t="str">
        <f>IF(O22="","","ï")</f>
        <v/>
      </c>
      <c r="O22" s="268" t="str">
        <f>IF(S22=TRUE,"",IF(LEN(C22)&gt;0,IF(G22="",TBS_Fehler_2,""),IF(G22="","",TBS_Fehler_3)))</f>
        <v/>
      </c>
      <c r="P22" s="22"/>
      <c r="Q22" s="22"/>
      <c r="R22" s="71"/>
      <c r="S22" s="72" t="b">
        <f>ISERROR(FIND("optional",C22))=FALSE</f>
        <v>0</v>
      </c>
      <c r="T22" s="72" t="e">
        <f>IF((Basis_Betrachtungszeitraum/J22)&lt;=1,0,IF((Basis_Betrachtungszeitraum/J22)&lt;=2,1,2))</f>
        <v>#VALUE!</v>
      </c>
      <c r="U22" s="326" t="e">
        <f>IF(T22&lt;1,0,G22*IF($A$2=1,1,(1-Basis_Foerderung))*(1+Basis_Preisentwicklung_Produkte)^J22)</f>
        <v>#VALUE!</v>
      </c>
      <c r="V22" s="326" t="e">
        <f>IF(T22&gt;1,G22*IF($A$2=1,1,(1-Basis_Foerderung))*(1+Basis_Preisentwicklung_Produkte)^(2*J22),0)</f>
        <v>#VALUE!</v>
      </c>
      <c r="W22" s="326" t="e">
        <f>U22*(1/(1+Basis_Realzins))^J22+V22*(1/(1+Basis_Realzins))^(2*J22)</f>
        <v>#VALUE!</v>
      </c>
      <c r="X22" s="73" t="e">
        <f>IF((INT(Basis_Betrachtungszeitraum/J22)=Basis_Betrachtungszeitraum/J22),1,(J22*(T22+1)-Basis_Betrachtungszeitraum)/J22)</f>
        <v>#VALUE!</v>
      </c>
      <c r="Y22" s="326" t="e">
        <f>IF(X22=1,0,IF(T22=0,G22*IF($A$2=1,1,(1-Basis_Foerderung)),INDEX(U22:V22,1,T22))*Basis_Diskontsatz*X22)</f>
        <v>#VALUE!</v>
      </c>
      <c r="Z22" s="326">
        <f>G22*IF($A$2=1,1,(1-Basis_Foerderung))</f>
        <v>0</v>
      </c>
      <c r="AA22" s="71"/>
      <c r="AB22" s="71"/>
      <c r="AC22" s="22"/>
      <c r="AD22" s="22"/>
      <c r="AE22" s="22"/>
      <c r="AF22" s="22"/>
      <c r="AG22" s="22"/>
      <c r="AH22" s="22"/>
      <c r="AI22" s="22"/>
      <c r="AJ22" s="22"/>
      <c r="AK22" s="22"/>
      <c r="AL22" s="22"/>
      <c r="AM22" s="22"/>
      <c r="AN22" s="22"/>
      <c r="AO22" s="22"/>
      <c r="AP22" s="22"/>
      <c r="AQ22" s="22"/>
      <c r="AR22" s="22"/>
      <c r="AS22" s="22"/>
    </row>
    <row r="23" spans="1:45" x14ac:dyDescent="0.3">
      <c r="A23" s="22"/>
      <c r="B23" s="184" t="str">
        <f>IF(O23="","","!")</f>
        <v/>
      </c>
      <c r="C23" s="420" t="str">
        <f>IF(INDEX(Status_Systeme,$A$2)=TRUE,"",IF(INDEX(Tabelle_Komponenten,3,11)="","",INDEX(Tabelle_Komponenten,3,11)))</f>
        <v/>
      </c>
      <c r="D23" s="420"/>
      <c r="E23" s="420"/>
      <c r="F23" s="420"/>
      <c r="G23" s="406"/>
      <c r="H23" s="406"/>
      <c r="I23" s="406"/>
      <c r="J23" s="58" t="str">
        <f>IF(C23="","",VLOOKUP(C23,Tabelle_Kosten_Komponenten,2,FALSE))</f>
        <v/>
      </c>
      <c r="K23" s="405" t="str">
        <f t="shared" si="0"/>
        <v/>
      </c>
      <c r="L23" s="405"/>
      <c r="M23" s="76"/>
      <c r="N23" s="178" t="str">
        <f>IF(O23="","","ï")</f>
        <v/>
      </c>
      <c r="O23" s="268" t="str">
        <f>IF(S23=TRUE,"",IF(LEN(C23)&gt;0,IF(G23="",TBS_Fehler_2,""),IF(G23="","",TBS_Fehler_3)))</f>
        <v/>
      </c>
      <c r="P23" s="22"/>
      <c r="Q23" s="22"/>
      <c r="R23" s="71"/>
      <c r="S23" s="72" t="b">
        <f>ISERROR(FIND("optional",C23))=FALSE</f>
        <v>0</v>
      </c>
      <c r="T23" s="72" t="e">
        <f>IF((Basis_Betrachtungszeitraum/J23)&lt;=1,0,IF((Basis_Betrachtungszeitraum/J23)&lt;=2,1,2))</f>
        <v>#VALUE!</v>
      </c>
      <c r="U23" s="326" t="e">
        <f>IF(T23&lt;1,0,G23*IF($A$2=1,1,(1-Basis_Foerderung))*(1+Basis_Preisentwicklung_Produkte)^J23)</f>
        <v>#VALUE!</v>
      </c>
      <c r="V23" s="326" t="e">
        <f>IF(T23&gt;1,G23*IF($A$2=1,1,(1-Basis_Foerderung))*(1+Basis_Preisentwicklung_Produkte)^(2*J23),0)</f>
        <v>#VALUE!</v>
      </c>
      <c r="W23" s="326" t="e">
        <f>U23*(1/(1+Basis_Realzins))^J23+V23*(1/(1+Basis_Realzins))^(2*J23)</f>
        <v>#VALUE!</v>
      </c>
      <c r="X23" s="73" t="e">
        <f>IF((INT(Basis_Betrachtungszeitraum/J23)=Basis_Betrachtungszeitraum/J23),1,(J23*(T23+1)-Basis_Betrachtungszeitraum)/J23)</f>
        <v>#VALUE!</v>
      </c>
      <c r="Y23" s="326" t="e">
        <f>IF(X23=1,0,IF(T23=0,G23*IF($A$2=1,1,(1-Basis_Foerderung)),INDEX(U23:V23,1,T23))*Basis_Diskontsatz*X23)</f>
        <v>#VALUE!</v>
      </c>
      <c r="Z23" s="326">
        <f>G23*IF($A$2=1,1,(1-Basis_Foerderung))</f>
        <v>0</v>
      </c>
      <c r="AA23" s="71"/>
      <c r="AB23" s="71"/>
      <c r="AC23" s="22"/>
      <c r="AD23" s="22"/>
      <c r="AE23" s="22"/>
      <c r="AF23" s="22"/>
      <c r="AG23" s="22"/>
      <c r="AH23" s="22"/>
      <c r="AI23" s="22"/>
      <c r="AJ23" s="22"/>
      <c r="AK23" s="22"/>
      <c r="AL23" s="22"/>
      <c r="AM23" s="22"/>
      <c r="AN23" s="22"/>
      <c r="AO23" s="22"/>
      <c r="AP23" s="22"/>
      <c r="AQ23" s="22"/>
      <c r="AR23" s="22"/>
      <c r="AS23" s="22"/>
    </row>
    <row r="24" spans="1:45" ht="21" customHeight="1" x14ac:dyDescent="0.3">
      <c r="A24" s="22"/>
      <c r="B24" s="75"/>
      <c r="C24" s="242" t="str">
        <f>IF(INDEX(Status_Systeme,$A$2)=TRUE,"","B | BAULICHE MASSNAHMEN")</f>
        <v>B | BAULICHE MASSNAHMEN</v>
      </c>
      <c r="D24" s="188"/>
      <c r="E24" s="188"/>
      <c r="F24" s="188"/>
      <c r="G24" s="161"/>
      <c r="H24" s="161"/>
      <c r="I24" s="161"/>
      <c r="J24" s="188"/>
      <c r="K24" s="188"/>
      <c r="L24" s="188"/>
      <c r="M24" s="76"/>
      <c r="N24" s="78"/>
      <c r="O24" s="268"/>
      <c r="P24" s="64"/>
      <c r="Q24" s="22"/>
      <c r="R24" s="71"/>
      <c r="S24" s="71"/>
      <c r="T24" s="71"/>
      <c r="U24" s="71"/>
      <c r="V24" s="71"/>
      <c r="W24" s="71"/>
      <c r="X24" s="71"/>
      <c r="Y24" s="71"/>
      <c r="Z24" s="71"/>
      <c r="AA24" s="71"/>
      <c r="AB24" s="71"/>
      <c r="AC24" s="22"/>
      <c r="AD24" s="22"/>
      <c r="AE24" s="22"/>
      <c r="AF24" s="22"/>
      <c r="AG24" s="22"/>
      <c r="AH24" s="22"/>
      <c r="AI24" s="22"/>
      <c r="AJ24" s="22"/>
      <c r="AK24" s="22"/>
      <c r="AL24" s="22"/>
      <c r="AM24" s="22"/>
      <c r="AN24" s="22"/>
      <c r="AO24" s="22"/>
      <c r="AP24" s="22"/>
      <c r="AQ24" s="22"/>
      <c r="AR24" s="22"/>
      <c r="AS24" s="22"/>
    </row>
    <row r="25" spans="1:45" x14ac:dyDescent="0.3">
      <c r="A25" s="22"/>
      <c r="B25" s="184" t="str">
        <f t="shared" ref="B25:B31" si="1">IF(O25="","","!")</f>
        <v>!</v>
      </c>
      <c r="C25" s="420" t="str">
        <f>IF(INDEX(Status_Systeme,$A$2)=TRUE,"",IF(INDEX(Tabelle_Komponenten,8,11)="","",INDEX(Tabelle_Komponenten,8,11)))</f>
        <v>Brunnenbau</v>
      </c>
      <c r="D25" s="420"/>
      <c r="E25" s="420"/>
      <c r="F25" s="420"/>
      <c r="G25" s="406"/>
      <c r="H25" s="406"/>
      <c r="I25" s="406"/>
      <c r="J25" s="60">
        <f t="shared" ref="J25:J31" si="2">IF(C25="","",VLOOKUP(C25,Tabelle_Kosten_Komponenten,2,FALSE))</f>
        <v>50</v>
      </c>
      <c r="K25" s="405" t="str">
        <f t="shared" ref="K25" si="3">IF(OR(C25="",G25="",J25=""),"",Z25+W25-Y25)</f>
        <v/>
      </c>
      <c r="L25" s="405"/>
      <c r="M25" s="76"/>
      <c r="N25" s="178" t="str">
        <f t="shared" ref="N25:N31" si="4">IF(O25="","","ï")</f>
        <v>ï</v>
      </c>
      <c r="O25" s="268" t="str">
        <f t="shared" ref="O25:O31" si="5">IF(S25=TRUE,"",IF(LEN(C25)&gt;0,IF(G25="",TBS_Fehler_2,""),IF(G25="","",TBS_Fehler_3)))</f>
        <v>Bitte dieses Feld (roter Bereich = Pflichtfeld) ausfüllen!</v>
      </c>
      <c r="P25" s="272"/>
      <c r="Q25" s="22"/>
      <c r="R25" s="71"/>
      <c r="S25" s="72" t="b">
        <f>ISERROR(FIND("optional",C25))=FALSE</f>
        <v>0</v>
      </c>
      <c r="T25" s="72">
        <f t="shared" ref="T25:T31" si="6">IF((Basis_Betrachtungszeitraum/J25)&lt;=1,0,IF((Basis_Betrachtungszeitraum/J25)&lt;=2,1,2))</f>
        <v>0</v>
      </c>
      <c r="U25" s="326">
        <f t="shared" ref="U25:U31" si="7">IF(T25&lt;1,0,G25*IF($A$2=1,1,(1-Basis_Foerderung))*(1+Basis_Preisentwicklung_Produkte)^J25)</f>
        <v>0</v>
      </c>
      <c r="V25" s="326">
        <f t="shared" ref="V25:V31" si="8">IF(T25&gt;1,G25*IF($A$2=1,1,(1-Basis_Foerderung))*(1+Basis_Preisentwicklung_Produkte)^(2*J25),0)</f>
        <v>0</v>
      </c>
      <c r="W25" s="326">
        <f t="shared" ref="W25:W31" si="9">U25*(1/(1+Basis_Realzins))^J25+V25*(1/(1+Basis_Realzins))^(2*J25)</f>
        <v>0</v>
      </c>
      <c r="X25" s="73">
        <f t="shared" ref="X25:X31" si="10">IF((INT(Basis_Betrachtungszeitraum/J25)=Basis_Betrachtungszeitraum/J25),1,(J25*(T25+1)-Basis_Betrachtungszeitraum)/J25)</f>
        <v>0.6</v>
      </c>
      <c r="Y25" s="326">
        <f t="shared" ref="Y25:Y31" si="11">IF(X25=1,0,IF(T25=0,G25*IF($A$2=1,1,(1-Basis_Foerderung)),INDEX(U25:V25,1,T25))*Basis_Diskontsatz*X25)</f>
        <v>0</v>
      </c>
      <c r="Z25" s="326">
        <f t="shared" ref="Z25:Z31" si="12">G25*IF($A$2=1,1,(1-Basis_Foerderung))</f>
        <v>0</v>
      </c>
      <c r="AA25" s="71"/>
      <c r="AB25" s="71"/>
      <c r="AC25" s="22"/>
      <c r="AD25" s="22"/>
      <c r="AE25" s="22"/>
      <c r="AF25" s="22"/>
      <c r="AG25" s="22"/>
      <c r="AH25" s="22"/>
      <c r="AI25" s="22"/>
      <c r="AJ25" s="22"/>
      <c r="AK25" s="22"/>
      <c r="AL25" s="22"/>
      <c r="AM25" s="22"/>
      <c r="AN25" s="22"/>
      <c r="AO25" s="22"/>
      <c r="AP25" s="22"/>
      <c r="AQ25" s="22"/>
      <c r="AR25" s="22"/>
      <c r="AS25" s="22"/>
    </row>
    <row r="26" spans="1:45" x14ac:dyDescent="0.3">
      <c r="A26" s="22"/>
      <c r="B26" s="184" t="str">
        <f t="shared" si="1"/>
        <v>!</v>
      </c>
      <c r="C26" s="414" t="str">
        <f>IF(INDEX(Status_Systeme,$A$2)=TRUE,"",IF(INDEX(Tabelle_Komponenten,9,11)="","",INDEX(Tabelle_Komponenten,9,11)))</f>
        <v>Behördenverfahren</v>
      </c>
      <c r="D26" s="414"/>
      <c r="E26" s="414"/>
      <c r="F26" s="414"/>
      <c r="G26" s="406"/>
      <c r="H26" s="406"/>
      <c r="I26" s="406"/>
      <c r="J26" s="60">
        <f t="shared" si="2"/>
        <v>50</v>
      </c>
      <c r="K26" s="405" t="str">
        <f t="shared" ref="K26:K31" si="13">IF(OR(C26="",G26="",J26=""),"",Z26+W26-Y26)</f>
        <v/>
      </c>
      <c r="L26" s="405"/>
      <c r="M26" s="76"/>
      <c r="N26" s="178" t="str">
        <f t="shared" si="4"/>
        <v>ï</v>
      </c>
      <c r="O26" s="268" t="str">
        <f t="shared" si="5"/>
        <v>Bitte dieses Feld (roter Bereich = Pflichtfeld) ausfüllen!</v>
      </c>
      <c r="P26" s="65"/>
      <c r="Q26" s="22"/>
      <c r="R26" s="71"/>
      <c r="S26" s="72" t="b">
        <f>ISERROR(FIND("optional",C26))=FALSE</f>
        <v>0</v>
      </c>
      <c r="T26" s="72">
        <f t="shared" si="6"/>
        <v>0</v>
      </c>
      <c r="U26" s="326">
        <f t="shared" si="7"/>
        <v>0</v>
      </c>
      <c r="V26" s="326">
        <f t="shared" si="8"/>
        <v>0</v>
      </c>
      <c r="W26" s="326">
        <f t="shared" si="9"/>
        <v>0</v>
      </c>
      <c r="X26" s="73">
        <f t="shared" si="10"/>
        <v>0.6</v>
      </c>
      <c r="Y26" s="326">
        <f t="shared" si="11"/>
        <v>0</v>
      </c>
      <c r="Z26" s="326">
        <f t="shared" si="12"/>
        <v>0</v>
      </c>
      <c r="AA26" s="71"/>
      <c r="AB26" s="71"/>
      <c r="AC26" s="22"/>
      <c r="AD26" s="22"/>
      <c r="AE26" s="22"/>
      <c r="AF26" s="22"/>
      <c r="AG26" s="22"/>
      <c r="AH26" s="22"/>
      <c r="AI26" s="22"/>
      <c r="AJ26" s="22"/>
      <c r="AK26" s="22"/>
      <c r="AL26" s="22"/>
      <c r="AM26" s="22"/>
      <c r="AN26" s="22"/>
      <c r="AO26" s="22"/>
      <c r="AP26" s="22"/>
      <c r="AQ26" s="22"/>
      <c r="AR26" s="22"/>
      <c r="AS26" s="22"/>
    </row>
    <row r="27" spans="1:45" x14ac:dyDescent="0.3">
      <c r="A27" s="22"/>
      <c r="B27" s="184" t="str">
        <f t="shared" si="1"/>
        <v/>
      </c>
      <c r="C27" s="414" t="str">
        <f>IF(INDEX(Status_Systeme,$A$2)=TRUE,"",IF(INDEX(Tabelle_Komponenten,10,11)="","",INDEX(Tabelle_Komponenten,10,11)))</f>
        <v/>
      </c>
      <c r="D27" s="414"/>
      <c r="E27" s="414"/>
      <c r="F27" s="414"/>
      <c r="G27" s="406"/>
      <c r="H27" s="406"/>
      <c r="I27" s="406"/>
      <c r="J27" s="60" t="str">
        <f t="shared" si="2"/>
        <v/>
      </c>
      <c r="K27" s="405" t="str">
        <f t="shared" si="13"/>
        <v/>
      </c>
      <c r="L27" s="405"/>
      <c r="M27" s="76"/>
      <c r="N27" s="178" t="str">
        <f t="shared" si="4"/>
        <v/>
      </c>
      <c r="O27" s="268" t="str">
        <f t="shared" si="5"/>
        <v/>
      </c>
      <c r="P27" s="22"/>
      <c r="Q27" s="22"/>
      <c r="R27" s="71"/>
      <c r="S27" s="72" t="b">
        <f>ISERROR(FIND("optional",C27))=FALSE</f>
        <v>0</v>
      </c>
      <c r="T27" s="72" t="e">
        <f t="shared" si="6"/>
        <v>#VALUE!</v>
      </c>
      <c r="U27" s="326" t="e">
        <f t="shared" si="7"/>
        <v>#VALUE!</v>
      </c>
      <c r="V27" s="326" t="e">
        <f t="shared" si="8"/>
        <v>#VALUE!</v>
      </c>
      <c r="W27" s="326" t="e">
        <f t="shared" si="9"/>
        <v>#VALUE!</v>
      </c>
      <c r="X27" s="73" t="e">
        <f t="shared" si="10"/>
        <v>#VALUE!</v>
      </c>
      <c r="Y27" s="326" t="e">
        <f t="shared" si="11"/>
        <v>#VALUE!</v>
      </c>
      <c r="Z27" s="326">
        <f t="shared" si="12"/>
        <v>0</v>
      </c>
      <c r="AA27" s="71"/>
      <c r="AB27" s="71"/>
      <c r="AC27" s="22"/>
      <c r="AD27" s="22"/>
      <c r="AE27" s="22"/>
      <c r="AF27" s="22"/>
      <c r="AG27" s="22"/>
      <c r="AH27" s="22"/>
      <c r="AI27" s="22"/>
      <c r="AJ27" s="22"/>
      <c r="AK27" s="22"/>
      <c r="AL27" s="22"/>
      <c r="AM27" s="22"/>
      <c r="AN27" s="22"/>
      <c r="AO27" s="22"/>
      <c r="AP27" s="22"/>
      <c r="AQ27" s="22"/>
      <c r="AR27" s="22"/>
      <c r="AS27" s="22"/>
    </row>
    <row r="28" spans="1:45" x14ac:dyDescent="0.3">
      <c r="A28" s="22"/>
      <c r="B28" s="184" t="str">
        <f t="shared" si="1"/>
        <v/>
      </c>
      <c r="C28" s="414" t="str">
        <f>IF(INDEX(Status_Systeme,$A$2)=TRUE,"",IF(INDEX(Tabelle_Komponenten,11,11)="","",INDEX(Tabelle_Komponenten,11,11)))</f>
        <v/>
      </c>
      <c r="D28" s="414"/>
      <c r="E28" s="414"/>
      <c r="F28" s="414"/>
      <c r="G28" s="406"/>
      <c r="H28" s="406"/>
      <c r="I28" s="406"/>
      <c r="J28" s="60" t="str">
        <f t="shared" si="2"/>
        <v/>
      </c>
      <c r="K28" s="405" t="str">
        <f t="shared" si="13"/>
        <v/>
      </c>
      <c r="L28" s="405"/>
      <c r="M28" s="76"/>
      <c r="N28" s="178" t="str">
        <f t="shared" si="4"/>
        <v/>
      </c>
      <c r="O28" s="268" t="str">
        <f t="shared" si="5"/>
        <v/>
      </c>
      <c r="P28" s="22"/>
      <c r="Q28" s="22"/>
      <c r="R28" s="71"/>
      <c r="S28" s="72" t="b">
        <f>ISERROR(FIND("optional",C28))=FALSE</f>
        <v>0</v>
      </c>
      <c r="T28" s="72" t="e">
        <f t="shared" si="6"/>
        <v>#VALUE!</v>
      </c>
      <c r="U28" s="326" t="e">
        <f t="shared" si="7"/>
        <v>#VALUE!</v>
      </c>
      <c r="V28" s="326" t="e">
        <f t="shared" si="8"/>
        <v>#VALUE!</v>
      </c>
      <c r="W28" s="326" t="e">
        <f t="shared" si="9"/>
        <v>#VALUE!</v>
      </c>
      <c r="X28" s="73" t="e">
        <f t="shared" si="10"/>
        <v>#VALUE!</v>
      </c>
      <c r="Y28" s="326" t="e">
        <f t="shared" si="11"/>
        <v>#VALUE!</v>
      </c>
      <c r="Z28" s="326">
        <f t="shared" si="12"/>
        <v>0</v>
      </c>
      <c r="AA28" s="71"/>
      <c r="AB28" s="71"/>
      <c r="AC28" s="22"/>
      <c r="AD28" s="22"/>
      <c r="AE28" s="22"/>
      <c r="AF28" s="22"/>
      <c r="AG28" s="22"/>
      <c r="AH28" s="22"/>
      <c r="AI28" s="22"/>
      <c r="AJ28" s="22"/>
      <c r="AK28" s="22"/>
      <c r="AL28" s="22"/>
      <c r="AM28" s="22"/>
      <c r="AN28" s="22"/>
      <c r="AO28" s="22"/>
      <c r="AP28" s="22"/>
      <c r="AQ28" s="22"/>
      <c r="AR28" s="22"/>
      <c r="AS28" s="22"/>
    </row>
    <row r="29" spans="1:45" x14ac:dyDescent="0.3">
      <c r="A29" s="22"/>
      <c r="B29" s="184" t="str">
        <f t="shared" si="1"/>
        <v/>
      </c>
      <c r="C29" s="414" t="str">
        <f>IF(INDEX(Status_Systeme,$A$2)=TRUE,"",IF(INDEX(Tabelle_Komponenten,12,11)="","",INDEX(Tabelle_Komponenten,12,11)))</f>
        <v/>
      </c>
      <c r="D29" s="414"/>
      <c r="E29" s="414"/>
      <c r="F29" s="414"/>
      <c r="G29" s="406"/>
      <c r="H29" s="406"/>
      <c r="I29" s="406"/>
      <c r="J29" s="60" t="str">
        <f t="shared" si="2"/>
        <v/>
      </c>
      <c r="K29" s="405" t="str">
        <f t="shared" si="13"/>
        <v/>
      </c>
      <c r="L29" s="405"/>
      <c r="M29" s="76"/>
      <c r="N29" s="178" t="str">
        <f t="shared" si="4"/>
        <v/>
      </c>
      <c r="O29" s="268" t="str">
        <f t="shared" si="5"/>
        <v/>
      </c>
      <c r="P29" s="22"/>
      <c r="Q29" s="22"/>
      <c r="R29" s="71"/>
      <c r="S29" s="72" t="b">
        <f>ISERROR(FIND("optional",C29))=FALSE</f>
        <v>0</v>
      </c>
      <c r="T29" s="72" t="e">
        <f t="shared" si="6"/>
        <v>#VALUE!</v>
      </c>
      <c r="U29" s="326" t="e">
        <f t="shared" si="7"/>
        <v>#VALUE!</v>
      </c>
      <c r="V29" s="326" t="e">
        <f t="shared" si="8"/>
        <v>#VALUE!</v>
      </c>
      <c r="W29" s="326" t="e">
        <f t="shared" si="9"/>
        <v>#VALUE!</v>
      </c>
      <c r="X29" s="73" t="e">
        <f t="shared" si="10"/>
        <v>#VALUE!</v>
      </c>
      <c r="Y29" s="326" t="e">
        <f t="shared" si="11"/>
        <v>#VALUE!</v>
      </c>
      <c r="Z29" s="326">
        <f t="shared" si="12"/>
        <v>0</v>
      </c>
      <c r="AA29" s="71"/>
      <c r="AB29" s="71"/>
      <c r="AC29" s="22"/>
      <c r="AD29" s="22"/>
      <c r="AE29" s="22"/>
      <c r="AF29" s="22"/>
      <c r="AG29" s="22"/>
      <c r="AH29" s="22"/>
      <c r="AI29" s="22"/>
      <c r="AJ29" s="22"/>
      <c r="AK29" s="22"/>
      <c r="AL29" s="22"/>
      <c r="AM29" s="22"/>
      <c r="AN29" s="22"/>
      <c r="AO29" s="22"/>
      <c r="AP29" s="22"/>
      <c r="AQ29" s="22"/>
      <c r="AR29" s="22"/>
      <c r="AS29" s="22"/>
    </row>
    <row r="30" spans="1:45" x14ac:dyDescent="0.3">
      <c r="A30" s="22"/>
      <c r="B30" s="184" t="str">
        <f t="shared" si="1"/>
        <v/>
      </c>
      <c r="C30" s="414" t="str">
        <f>IF(INDEX(Status_Systeme,$A$2)=TRUE,"",IF(INDEX(Tabelle_Komponenten,5,11)="","",INDEX(Tabelle_Komponenten,5,11)))</f>
        <v/>
      </c>
      <c r="D30" s="414"/>
      <c r="E30" s="414"/>
      <c r="F30" s="414"/>
      <c r="G30" s="406"/>
      <c r="H30" s="406"/>
      <c r="I30" s="406"/>
      <c r="J30" s="60" t="str">
        <f t="shared" si="2"/>
        <v/>
      </c>
      <c r="K30" s="405" t="str">
        <f t="shared" si="13"/>
        <v/>
      </c>
      <c r="L30" s="405"/>
      <c r="M30" s="76"/>
      <c r="N30" s="178" t="str">
        <f t="shared" si="4"/>
        <v/>
      </c>
      <c r="O30" s="268" t="str">
        <f t="shared" si="5"/>
        <v/>
      </c>
      <c r="P30" s="22"/>
      <c r="Q30" s="22"/>
      <c r="R30" s="71"/>
      <c r="S30" s="72" t="b">
        <f t="shared" ref="S30:S31" si="14">ISERROR(FIND("optional",C30))=FALSE</f>
        <v>0</v>
      </c>
      <c r="T30" s="72" t="e">
        <f t="shared" si="6"/>
        <v>#VALUE!</v>
      </c>
      <c r="U30" s="326" t="e">
        <f t="shared" si="7"/>
        <v>#VALUE!</v>
      </c>
      <c r="V30" s="326" t="e">
        <f t="shared" si="8"/>
        <v>#VALUE!</v>
      </c>
      <c r="W30" s="326" t="e">
        <f t="shared" si="9"/>
        <v>#VALUE!</v>
      </c>
      <c r="X30" s="73" t="e">
        <f t="shared" si="10"/>
        <v>#VALUE!</v>
      </c>
      <c r="Y30" s="326" t="e">
        <f t="shared" si="11"/>
        <v>#VALUE!</v>
      </c>
      <c r="Z30" s="326">
        <f t="shared" si="12"/>
        <v>0</v>
      </c>
      <c r="AA30" s="71"/>
      <c r="AB30" s="71"/>
      <c r="AC30" s="22"/>
      <c r="AD30" s="22"/>
      <c r="AE30" s="22"/>
      <c r="AF30" s="22"/>
      <c r="AG30" s="22"/>
      <c r="AH30" s="22"/>
      <c r="AI30" s="22"/>
      <c r="AJ30" s="22"/>
      <c r="AK30" s="22"/>
      <c r="AL30" s="22"/>
      <c r="AM30" s="22"/>
      <c r="AN30" s="22"/>
      <c r="AO30" s="22"/>
      <c r="AP30" s="22"/>
      <c r="AQ30" s="22"/>
      <c r="AR30" s="22"/>
      <c r="AS30" s="22"/>
    </row>
    <row r="31" spans="1:45" x14ac:dyDescent="0.3">
      <c r="A31" s="22"/>
      <c r="B31" s="184" t="str">
        <f t="shared" si="1"/>
        <v/>
      </c>
      <c r="C31" s="414" t="str">
        <f>IF(INDEX(Status_Systeme,$A$2)=TRUE,"",IF(INDEX(Tabelle_Komponenten,6,11)="","",INDEX(Tabelle_Komponenten,6,11)))</f>
        <v/>
      </c>
      <c r="D31" s="414"/>
      <c r="E31" s="414"/>
      <c r="F31" s="414"/>
      <c r="G31" s="406"/>
      <c r="H31" s="406"/>
      <c r="I31" s="406"/>
      <c r="J31" s="60" t="str">
        <f t="shared" si="2"/>
        <v/>
      </c>
      <c r="K31" s="405" t="str">
        <f t="shared" si="13"/>
        <v/>
      </c>
      <c r="L31" s="405"/>
      <c r="M31" s="76"/>
      <c r="N31" s="178" t="str">
        <f t="shared" si="4"/>
        <v/>
      </c>
      <c r="O31" s="268" t="str">
        <f t="shared" si="5"/>
        <v/>
      </c>
      <c r="P31" s="22"/>
      <c r="Q31" s="22"/>
      <c r="R31" s="71"/>
      <c r="S31" s="72" t="b">
        <f t="shared" si="14"/>
        <v>0</v>
      </c>
      <c r="T31" s="72" t="e">
        <f t="shared" si="6"/>
        <v>#VALUE!</v>
      </c>
      <c r="U31" s="326" t="e">
        <f t="shared" si="7"/>
        <v>#VALUE!</v>
      </c>
      <c r="V31" s="326" t="e">
        <f t="shared" si="8"/>
        <v>#VALUE!</v>
      </c>
      <c r="W31" s="326" t="e">
        <f t="shared" si="9"/>
        <v>#VALUE!</v>
      </c>
      <c r="X31" s="73" t="e">
        <f t="shared" si="10"/>
        <v>#VALUE!</v>
      </c>
      <c r="Y31" s="326" t="e">
        <f t="shared" si="11"/>
        <v>#VALUE!</v>
      </c>
      <c r="Z31" s="326">
        <f t="shared" si="12"/>
        <v>0</v>
      </c>
      <c r="AA31" s="71"/>
      <c r="AB31" s="71"/>
      <c r="AC31" s="22"/>
      <c r="AD31" s="22"/>
      <c r="AE31" s="22"/>
      <c r="AF31" s="22"/>
      <c r="AG31" s="22"/>
      <c r="AH31" s="22"/>
      <c r="AI31" s="22"/>
      <c r="AJ31" s="22"/>
      <c r="AK31" s="22"/>
      <c r="AL31" s="22"/>
      <c r="AM31" s="22"/>
      <c r="AN31" s="22"/>
      <c r="AO31" s="22"/>
      <c r="AP31" s="22"/>
      <c r="AQ31" s="22"/>
      <c r="AR31" s="22"/>
      <c r="AS31" s="22"/>
    </row>
    <row r="32" spans="1:45" ht="21" customHeight="1" x14ac:dyDescent="0.3">
      <c r="A32" s="22"/>
      <c r="B32" s="75"/>
      <c r="C32" s="242" t="str">
        <f>IF(INDEX(Status_Systeme,$A$2)=TRUE,"","C | FREIE EINGABE")</f>
        <v>C | FREIE EINGABE</v>
      </c>
      <c r="D32" s="188"/>
      <c r="E32" s="188"/>
      <c r="F32" s="188"/>
      <c r="G32" s="161"/>
      <c r="H32" s="161"/>
      <c r="I32" s="161"/>
      <c r="J32" s="188"/>
      <c r="K32" s="188"/>
      <c r="L32" s="188"/>
      <c r="M32" s="76"/>
      <c r="N32" s="78"/>
      <c r="O32" s="30"/>
      <c r="P32" s="22"/>
      <c r="Q32" s="22"/>
      <c r="R32" s="71"/>
      <c r="S32" s="71"/>
      <c r="T32" s="71"/>
      <c r="U32" s="71"/>
      <c r="V32" s="71"/>
      <c r="W32" s="71"/>
      <c r="X32" s="71"/>
      <c r="Y32" s="71"/>
      <c r="Z32" s="71"/>
      <c r="AA32" s="71"/>
      <c r="AB32" s="71"/>
      <c r="AC32" s="22"/>
      <c r="AD32" s="22"/>
      <c r="AE32" s="22"/>
      <c r="AF32" s="22"/>
      <c r="AG32" s="22"/>
      <c r="AH32" s="22"/>
      <c r="AI32" s="22"/>
      <c r="AJ32" s="22"/>
      <c r="AK32" s="22"/>
      <c r="AL32" s="22"/>
      <c r="AM32" s="22"/>
      <c r="AN32" s="22"/>
      <c r="AO32" s="22"/>
      <c r="AP32" s="22"/>
      <c r="AQ32" s="22"/>
      <c r="AR32" s="22"/>
      <c r="AS32" s="22"/>
    </row>
    <row r="33" spans="1:45" x14ac:dyDescent="0.3">
      <c r="A33" s="22"/>
      <c r="B33" s="184" t="str">
        <f>IF(O33="","","!")</f>
        <v/>
      </c>
      <c r="C33" s="422"/>
      <c r="D33" s="422"/>
      <c r="E33" s="422"/>
      <c r="F33" s="422"/>
      <c r="G33" s="406"/>
      <c r="H33" s="406"/>
      <c r="I33" s="406"/>
      <c r="J33" s="191"/>
      <c r="K33" s="405" t="str">
        <f t="shared" ref="K33" si="15">IF(OR(C33="",G33="",J33=""),"",Z33+W33-Y33)</f>
        <v/>
      </c>
      <c r="L33" s="405"/>
      <c r="M33" s="76"/>
      <c r="N33" s="178" t="str">
        <f>IF(O33="","","ï")</f>
        <v/>
      </c>
      <c r="O33" s="221" t="str">
        <f>IF(AND(INDEX(Status_Systeme,$A$2)=TRUE,S33&gt;0),TBS_Fehler_3,IF(OR(S33=0,S33=3),"",TBS_Fehler_2))</f>
        <v/>
      </c>
      <c r="P33" s="22"/>
      <c r="Q33" s="22"/>
      <c r="R33" s="71"/>
      <c r="S33" s="72">
        <f>COUNTA(C33,G33,J33)</f>
        <v>0</v>
      </c>
      <c r="T33" s="72" t="e">
        <f>IF((Basis_Betrachtungszeitraum/J33)&lt;=1,0,IF((Basis_Betrachtungszeitraum/J33)&lt;=2,1,2))</f>
        <v>#DIV/0!</v>
      </c>
      <c r="U33" s="326" t="e">
        <f>IF(T33&lt;1,0,G33*IF($A$2=1,1,(1-Basis_Foerderung))*(1+Basis_Preisentwicklung_Produkte)^J33)</f>
        <v>#DIV/0!</v>
      </c>
      <c r="V33" s="326" t="e">
        <f>IF(T33&gt;1,G33*IF($A$2=1,1,(1-Basis_Foerderung))*(1+Basis_Preisentwicklung_Produkte)^(2*J33),0)</f>
        <v>#DIV/0!</v>
      </c>
      <c r="W33" s="326" t="e">
        <f>U33*(1/(1+Basis_Realzins))^J33+V33*(1/(1+Basis_Realzins))^(2*J33)</f>
        <v>#DIV/0!</v>
      </c>
      <c r="X33" s="73" t="e">
        <f>IF((INT(Basis_Betrachtungszeitraum/J33)=Basis_Betrachtungszeitraum/J33),1,(J33*(T33+1)-Basis_Betrachtungszeitraum)/J33)</f>
        <v>#DIV/0!</v>
      </c>
      <c r="Y33" s="326" t="e">
        <f>IF(X33=1,0,IF(T33=0,G33*IF($A$2=1,1,(1-Basis_Foerderung)),INDEX(U33:V33,1,T33))*Basis_Diskontsatz*X33)</f>
        <v>#DIV/0!</v>
      </c>
      <c r="Z33" s="326">
        <f>G33*IF($A$2=1,1,(1-Basis_Foerderung))</f>
        <v>0</v>
      </c>
      <c r="AA33" s="71"/>
      <c r="AB33" s="71"/>
      <c r="AC33" s="22"/>
      <c r="AD33" s="22"/>
      <c r="AE33" s="22"/>
      <c r="AF33" s="22"/>
      <c r="AG33" s="22"/>
      <c r="AH33" s="22"/>
      <c r="AI33" s="22"/>
      <c r="AJ33" s="22"/>
      <c r="AK33" s="22"/>
      <c r="AL33" s="22"/>
      <c r="AM33" s="22"/>
      <c r="AN33" s="22"/>
      <c r="AO33" s="22"/>
      <c r="AP33" s="22"/>
      <c r="AQ33" s="22"/>
      <c r="AR33" s="22"/>
      <c r="AS33" s="22"/>
    </row>
    <row r="34" spans="1:45" x14ac:dyDescent="0.3">
      <c r="A34" s="22"/>
      <c r="B34" s="184" t="str">
        <f>IF(O34="","","!")</f>
        <v/>
      </c>
      <c r="C34" s="423"/>
      <c r="D34" s="423"/>
      <c r="E34" s="423"/>
      <c r="F34" s="423"/>
      <c r="G34" s="406"/>
      <c r="H34" s="406"/>
      <c r="I34" s="406"/>
      <c r="J34" s="192"/>
      <c r="K34" s="405" t="str">
        <f t="shared" ref="K34:K35" si="16">IF(OR(C34="",G34="",J34=""),"",Z34+W34-Y34)</f>
        <v/>
      </c>
      <c r="L34" s="405"/>
      <c r="M34" s="76"/>
      <c r="N34" s="178" t="str">
        <f>IF(O34="","","ï")</f>
        <v/>
      </c>
      <c r="O34" s="221" t="str">
        <f>IF(AND(INDEX(Status_Systeme,$A$2)=TRUE,S34&gt;0),TBS_Fehler_3,IF(OR(S34=0,S34=3),"",TBS_Fehler_2))</f>
        <v/>
      </c>
      <c r="P34" s="22"/>
      <c r="Q34" s="22"/>
      <c r="R34" s="71"/>
      <c r="S34" s="72">
        <f>COUNTA(C34,G34,J34)</f>
        <v>0</v>
      </c>
      <c r="T34" s="72" t="e">
        <f>IF((Basis_Betrachtungszeitraum/J34)&lt;=1,0,IF((Basis_Betrachtungszeitraum/J34)&lt;=2,1,2))</f>
        <v>#DIV/0!</v>
      </c>
      <c r="U34" s="326" t="e">
        <f>IF(T34&lt;1,0,G34*IF($A$2=1,1,(1-Basis_Foerderung))*(1+Basis_Preisentwicklung_Produkte)^J34)</f>
        <v>#DIV/0!</v>
      </c>
      <c r="V34" s="326" t="e">
        <f>IF(T34&gt;1,G34*IF($A$2=1,1,(1-Basis_Foerderung))*(1+Basis_Preisentwicklung_Produkte)^(2*J34),0)</f>
        <v>#DIV/0!</v>
      </c>
      <c r="W34" s="326" t="e">
        <f>U34*(1/(1+Basis_Realzins))^J34+V34*(1/(1+Basis_Realzins))^(2*J34)</f>
        <v>#DIV/0!</v>
      </c>
      <c r="X34" s="73" t="e">
        <f>IF((INT(Basis_Betrachtungszeitraum/J34)=Basis_Betrachtungszeitraum/J34),1,(J34*(T34+1)-Basis_Betrachtungszeitraum)/J34)</f>
        <v>#DIV/0!</v>
      </c>
      <c r="Y34" s="326" t="e">
        <f>IF(X34=1,0,IF(T34=0,G34*IF($A$2=1,1,(1-Basis_Foerderung)),INDEX(U34:V34,1,T34))*Basis_Diskontsatz*X34)</f>
        <v>#DIV/0!</v>
      </c>
      <c r="Z34" s="326">
        <f>G34*IF($A$2=1,1,(1-Basis_Foerderung))</f>
        <v>0</v>
      </c>
      <c r="AA34" s="71"/>
      <c r="AB34" s="71"/>
      <c r="AC34" s="22"/>
      <c r="AD34" s="22"/>
      <c r="AE34" s="22"/>
      <c r="AF34" s="22"/>
      <c r="AG34" s="22"/>
      <c r="AH34" s="22"/>
      <c r="AI34" s="22"/>
      <c r="AJ34" s="22"/>
      <c r="AK34" s="22"/>
      <c r="AL34" s="22"/>
      <c r="AM34" s="22"/>
      <c r="AN34" s="22"/>
      <c r="AO34" s="22"/>
      <c r="AP34" s="22"/>
      <c r="AQ34" s="22"/>
      <c r="AR34" s="22"/>
      <c r="AS34" s="22"/>
    </row>
    <row r="35" spans="1:45" x14ac:dyDescent="0.3">
      <c r="A35" s="22"/>
      <c r="B35" s="184" t="str">
        <f>IF(O35="","","!")</f>
        <v/>
      </c>
      <c r="C35" s="423"/>
      <c r="D35" s="423"/>
      <c r="E35" s="423"/>
      <c r="F35" s="423"/>
      <c r="G35" s="406"/>
      <c r="H35" s="406"/>
      <c r="I35" s="406"/>
      <c r="J35" s="192"/>
      <c r="K35" s="405" t="str">
        <f t="shared" si="16"/>
        <v/>
      </c>
      <c r="L35" s="405"/>
      <c r="M35" s="76"/>
      <c r="N35" s="178" t="str">
        <f>IF(O35="","","ï")</f>
        <v/>
      </c>
      <c r="O35" s="221" t="str">
        <f>IF(AND(INDEX(Status_Systeme,$A$2)=TRUE,S35&gt;0),TBS_Fehler_3,IF(OR(S35=0,S35=3),"",TBS_Fehler_2))</f>
        <v/>
      </c>
      <c r="P35" s="22"/>
      <c r="Q35" s="22"/>
      <c r="R35" s="71"/>
      <c r="S35" s="72">
        <f>COUNTA(C35,G35,J35)</f>
        <v>0</v>
      </c>
      <c r="T35" s="72" t="e">
        <f>IF((Basis_Betrachtungszeitraum/J35)&lt;=1,0,IF((Basis_Betrachtungszeitraum/J35)&lt;=2,1,2))</f>
        <v>#DIV/0!</v>
      </c>
      <c r="U35" s="326" t="e">
        <f>IF(T35&lt;1,0,G35*IF($A$2=1,1,(1-Basis_Foerderung))*(1+Basis_Preisentwicklung_Produkte)^J35)</f>
        <v>#DIV/0!</v>
      </c>
      <c r="V35" s="326" t="e">
        <f>IF(T35&gt;1,G35*IF($A$2=1,1,(1-Basis_Foerderung))*(1+Basis_Preisentwicklung_Produkte)^(2*J35),0)</f>
        <v>#DIV/0!</v>
      </c>
      <c r="W35" s="326" t="e">
        <f>U35*(1/(1+Basis_Realzins))^J35+V35*(1/(1+Basis_Realzins))^(2*J35)</f>
        <v>#DIV/0!</v>
      </c>
      <c r="X35" s="73" t="e">
        <f>IF((INT(Basis_Betrachtungszeitraum/J35)=Basis_Betrachtungszeitraum/J35),1,(J35*(T35+1)-Basis_Betrachtungszeitraum)/J35)</f>
        <v>#DIV/0!</v>
      </c>
      <c r="Y35" s="326" t="e">
        <f>IF(X35=1,0,IF(T35=0,G35*IF($A$2=1,1,(1-Basis_Foerderung)),INDEX(U35:V35,1,T35))*Basis_Diskontsatz*X35)</f>
        <v>#DIV/0!</v>
      </c>
      <c r="Z35" s="326">
        <f>G35*IF($A$2=1,1,(1-Basis_Foerderung))</f>
        <v>0</v>
      </c>
      <c r="AA35" s="71"/>
      <c r="AB35" s="71"/>
      <c r="AC35" s="22"/>
      <c r="AD35" s="22"/>
      <c r="AE35" s="22"/>
      <c r="AF35" s="22"/>
      <c r="AG35" s="22"/>
      <c r="AH35" s="22"/>
      <c r="AI35" s="22"/>
      <c r="AJ35" s="22"/>
      <c r="AK35" s="22"/>
      <c r="AL35" s="22"/>
      <c r="AM35" s="22"/>
      <c r="AN35" s="22"/>
      <c r="AO35" s="22"/>
      <c r="AP35" s="22"/>
      <c r="AQ35" s="22"/>
      <c r="AR35" s="22"/>
      <c r="AS35" s="22"/>
    </row>
    <row r="36" spans="1:45" ht="21" customHeight="1" x14ac:dyDescent="0.3">
      <c r="A36" s="22"/>
      <c r="B36" s="75"/>
      <c r="C36" s="242" t="str">
        <f>IF(INDEX(Status_Systeme,$A$2)=TRUE,"","D | SUMME")</f>
        <v>D | SUMME</v>
      </c>
      <c r="D36" s="188"/>
      <c r="E36" s="188"/>
      <c r="F36" s="188"/>
      <c r="G36" s="161"/>
      <c r="H36" s="161"/>
      <c r="I36" s="161"/>
      <c r="J36" s="188"/>
      <c r="K36" s="412" t="str">
        <f>IF(INDEX(Status_Systeme,$A$2)=TRUE,"",IF(SUM(K20:L35)=0,"",SUM(K20:L35)))</f>
        <v/>
      </c>
      <c r="L36" s="413"/>
      <c r="M36" s="76"/>
      <c r="N36" s="78"/>
      <c r="O36" s="30"/>
      <c r="P36" s="22"/>
      <c r="Q36" s="22"/>
      <c r="R36" s="71"/>
      <c r="S36" s="71"/>
      <c r="T36" s="71"/>
      <c r="U36" s="71"/>
      <c r="V36" s="71"/>
      <c r="W36" s="71"/>
      <c r="X36" s="71"/>
      <c r="Y36" s="71"/>
      <c r="Z36" s="71"/>
      <c r="AA36" s="71"/>
      <c r="AB36" s="71"/>
      <c r="AC36" s="22"/>
      <c r="AD36" s="22"/>
      <c r="AE36" s="22"/>
      <c r="AF36" s="22"/>
      <c r="AG36" s="22"/>
      <c r="AH36" s="22"/>
      <c r="AI36" s="22"/>
      <c r="AJ36" s="22"/>
      <c r="AK36" s="22"/>
      <c r="AL36" s="22"/>
      <c r="AM36" s="22"/>
      <c r="AN36" s="22"/>
      <c r="AO36" s="22"/>
      <c r="AP36" s="22"/>
      <c r="AQ36" s="22"/>
      <c r="AR36" s="22"/>
      <c r="AS36" s="22"/>
    </row>
    <row r="37" spans="1:45" ht="30" customHeight="1" x14ac:dyDescent="0.3">
      <c r="A37" s="22"/>
      <c r="B37" s="75"/>
      <c r="C37" s="424"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24"/>
      <c r="E37" s="424"/>
      <c r="F37" s="424"/>
      <c r="G37" s="424"/>
      <c r="H37" s="424"/>
      <c r="I37" s="424"/>
      <c r="J37" s="424"/>
      <c r="K37" s="424"/>
      <c r="L37" s="424"/>
      <c r="M37" s="76"/>
      <c r="N37" s="78"/>
      <c r="O37" s="30"/>
      <c r="P37" s="22"/>
      <c r="Q37" s="22"/>
      <c r="R37" s="71"/>
      <c r="S37" s="71"/>
      <c r="T37" s="71"/>
      <c r="U37" s="71"/>
      <c r="V37" s="71"/>
      <c r="W37" s="71"/>
      <c r="X37" s="71"/>
      <c r="Y37" s="71"/>
      <c r="Z37" s="71"/>
      <c r="AA37" s="71"/>
      <c r="AB37" s="71"/>
      <c r="AC37" s="22"/>
      <c r="AD37" s="22"/>
      <c r="AE37" s="22"/>
      <c r="AF37" s="22"/>
      <c r="AG37" s="22"/>
      <c r="AH37" s="22"/>
      <c r="AI37" s="22"/>
      <c r="AJ37" s="22"/>
      <c r="AK37" s="22"/>
      <c r="AL37" s="22"/>
      <c r="AM37" s="22"/>
      <c r="AN37" s="22"/>
      <c r="AO37" s="22"/>
      <c r="AP37" s="22"/>
      <c r="AQ37" s="22"/>
      <c r="AR37" s="22"/>
      <c r="AS37" s="22"/>
    </row>
    <row r="38" spans="1:45" ht="16.5" customHeight="1" x14ac:dyDescent="0.3">
      <c r="A38" s="22"/>
      <c r="B38" s="75"/>
      <c r="C38" s="415" t="str">
        <f>IF(INDEX(Status_Systeme,$A$2)=TRUE,"",$A$2&amp;".3 "&amp;UPPER(INDEX(Auswahl!$P$2:$P$6,3)))</f>
        <v>5.3 BETRIEBSKOSTEN</v>
      </c>
      <c r="D38" s="415"/>
      <c r="E38" s="415"/>
      <c r="F38" s="415"/>
      <c r="G38" s="160"/>
      <c r="H38" s="160"/>
      <c r="I38" s="160"/>
      <c r="J38" s="410" t="str">
        <f>IF(INDEX(Status_Systeme,$A$2)=TRUE,"","laufende Kosten"&amp;IF(C41="","","²")&amp;" [€/a]")</f>
        <v>laufende Kosten [€/a]</v>
      </c>
      <c r="K38" s="408" t="str">
        <f>IF(INDEX(Status_Systeme,$A$2)=TRUE,"","Gesamtkosten"&amp;CHAR(2)&amp;CHAR(10)&amp;"nach "&amp;Basis_Betrachtungszeitraum&amp;"a [€]"&amp;CHAR(2))</f>
        <v>Gesamtkosten_x0002_
nach 20a [€]_x0002_</v>
      </c>
      <c r="L38" s="408"/>
      <c r="M38" s="76"/>
      <c r="N38" s="78"/>
      <c r="O38" s="30"/>
      <c r="P38" s="22"/>
      <c r="Q38" s="22"/>
      <c r="R38" s="71"/>
      <c r="S38" s="71"/>
      <c r="T38" s="71"/>
      <c r="U38" s="128"/>
      <c r="V38" s="128"/>
      <c r="W38" s="71"/>
      <c r="X38" s="71"/>
      <c r="Y38" s="71"/>
      <c r="Z38" s="71"/>
      <c r="AA38" s="71"/>
      <c r="AB38" s="71"/>
      <c r="AC38" s="22"/>
      <c r="AD38" s="22"/>
      <c r="AE38" s="22"/>
      <c r="AF38" s="22"/>
      <c r="AG38" s="22"/>
      <c r="AH38" s="22"/>
      <c r="AI38" s="22"/>
      <c r="AJ38" s="22"/>
      <c r="AK38" s="22"/>
      <c r="AL38" s="22"/>
      <c r="AM38" s="22"/>
      <c r="AN38" s="22"/>
      <c r="AO38" s="22"/>
      <c r="AP38" s="22"/>
      <c r="AQ38" s="22"/>
      <c r="AR38" s="22"/>
      <c r="AS38" s="22"/>
    </row>
    <row r="39" spans="1:45" ht="21" customHeight="1" x14ac:dyDescent="0.3">
      <c r="A39" s="22"/>
      <c r="B39" s="75"/>
      <c r="C39" s="416"/>
      <c r="D39" s="416"/>
      <c r="E39" s="416"/>
      <c r="F39" s="416"/>
      <c r="G39" s="417"/>
      <c r="H39" s="417"/>
      <c r="I39" s="417"/>
      <c r="J39" s="411"/>
      <c r="K39" s="409"/>
      <c r="L39" s="409"/>
      <c r="M39" s="76"/>
      <c r="N39" s="78"/>
      <c r="O39" s="30"/>
      <c r="P39" s="22"/>
      <c r="Q39" s="22"/>
      <c r="R39" s="71"/>
      <c r="S39" s="71"/>
      <c r="T39" s="71"/>
      <c r="U39" s="128"/>
      <c r="V39" s="128"/>
      <c r="W39" s="71"/>
      <c r="X39" s="71"/>
      <c r="Y39" s="71"/>
      <c r="Z39" s="71"/>
      <c r="AA39" s="71"/>
      <c r="AB39" s="71"/>
      <c r="AC39" s="22"/>
      <c r="AD39" s="22"/>
      <c r="AE39" s="22"/>
      <c r="AF39" s="22"/>
      <c r="AG39" s="22"/>
      <c r="AH39" s="22"/>
      <c r="AI39" s="22"/>
      <c r="AJ39" s="22"/>
      <c r="AK39" s="22"/>
      <c r="AL39" s="22"/>
      <c r="AM39" s="22"/>
      <c r="AN39" s="22"/>
      <c r="AO39" s="22"/>
      <c r="AP39" s="22"/>
      <c r="AQ39" s="22"/>
      <c r="AR39" s="22"/>
      <c r="AS39" s="22"/>
    </row>
    <row r="40" spans="1:45" x14ac:dyDescent="0.3">
      <c r="A40" s="22"/>
      <c r="B40" s="75"/>
      <c r="C40" s="420" t="str">
        <f>IF(INDEX(Status_Systeme,$A$2)=TRUE,"","Wartung und Instandhaltung")</f>
        <v>Wartung und Instandhaltung</v>
      </c>
      <c r="D40" s="420"/>
      <c r="E40" s="420"/>
      <c r="F40" s="420"/>
      <c r="G40" s="421"/>
      <c r="H40" s="421"/>
      <c r="I40" s="421"/>
      <c r="J40" s="256" t="str">
        <f>IF(INDEX(Status_Systeme,$A$2)=TRUE,"",INDEX(Basis_BK_calc,$A$2))</f>
        <v>---</v>
      </c>
      <c r="K40" s="405" t="e">
        <f>IF(J40="","",J40*Basis_Barwertfaktor*Basis_Barwertfaktor_Instandhaltung)</f>
        <v>#VALUE!</v>
      </c>
      <c r="L40" s="405"/>
      <c r="M40" s="76"/>
      <c r="N40" s="78"/>
      <c r="O40" s="30"/>
      <c r="P40" s="55"/>
      <c r="Q40" s="55"/>
      <c r="R40" s="71"/>
      <c r="S40" s="106"/>
      <c r="T40" s="71"/>
      <c r="U40" s="128"/>
      <c r="V40" s="128"/>
      <c r="W40" s="71"/>
      <c r="X40" s="71"/>
      <c r="Y40" s="71"/>
      <c r="Z40" s="71"/>
      <c r="AA40" s="71"/>
      <c r="AB40" s="71"/>
      <c r="AC40" s="22"/>
      <c r="AD40" s="22"/>
      <c r="AE40" s="22"/>
      <c r="AF40" s="22"/>
      <c r="AG40" s="22"/>
      <c r="AH40" s="22"/>
      <c r="AI40" s="22"/>
      <c r="AJ40" s="22"/>
      <c r="AK40" s="22"/>
      <c r="AL40" s="22"/>
      <c r="AM40" s="22"/>
      <c r="AN40" s="22"/>
      <c r="AO40" s="22"/>
      <c r="AP40" s="22"/>
      <c r="AQ40" s="22"/>
      <c r="AR40" s="22"/>
      <c r="AS40" s="22"/>
    </row>
    <row r="41" spans="1:45" x14ac:dyDescent="0.3">
      <c r="A41" s="22"/>
      <c r="C41" s="224" t="str">
        <f>IF(INDEX(Status_Systeme,$A$2)=TRUE,"",IF(EA_BGF&gt;=3000,"² Betriebskosten lt. CostOpt 2019, Änderung in Registerblatt "&amp;Auswahl!G10&amp;" | "&amp;Auswahl!H10&amp;" möglich.",""))</f>
        <v/>
      </c>
      <c r="D41" s="53"/>
      <c r="E41" s="53"/>
      <c r="F41" s="53"/>
      <c r="G41" s="53"/>
      <c r="H41" s="53"/>
      <c r="I41" s="53"/>
      <c r="J41" s="53"/>
      <c r="K41" s="53"/>
      <c r="L41" s="50"/>
      <c r="M41" s="76"/>
      <c r="N41" s="78"/>
      <c r="O41" s="30"/>
      <c r="P41" s="24"/>
      <c r="Q41" s="24"/>
      <c r="R41" s="71"/>
      <c r="S41" s="71"/>
      <c r="T41" s="71"/>
      <c r="U41" s="128"/>
      <c r="V41" s="128"/>
      <c r="W41" s="71"/>
      <c r="X41" s="71"/>
      <c r="Y41" s="71"/>
      <c r="Z41" s="71"/>
      <c r="AA41" s="71"/>
      <c r="AB41" s="71"/>
      <c r="AC41" s="22"/>
      <c r="AD41" s="22"/>
      <c r="AE41" s="22"/>
      <c r="AF41" s="22"/>
      <c r="AG41" s="22"/>
      <c r="AH41" s="22"/>
      <c r="AI41" s="22"/>
      <c r="AJ41" s="22"/>
      <c r="AK41" s="22"/>
      <c r="AL41" s="22"/>
      <c r="AM41" s="22"/>
      <c r="AN41" s="22"/>
      <c r="AO41" s="22"/>
      <c r="AP41" s="22"/>
      <c r="AQ41" s="22"/>
      <c r="AR41" s="22"/>
      <c r="AS41" s="22"/>
    </row>
    <row r="42" spans="1:45" ht="7.5" customHeight="1" x14ac:dyDescent="0.3">
      <c r="A42" s="22"/>
      <c r="C42" s="52"/>
      <c r="D42" s="53"/>
      <c r="E42" s="53"/>
      <c r="F42" s="53"/>
      <c r="G42" s="53"/>
      <c r="H42" s="53"/>
      <c r="I42" s="53"/>
      <c r="J42" s="53"/>
      <c r="K42" s="53"/>
      <c r="L42" s="50"/>
      <c r="M42" s="76"/>
      <c r="N42" s="78"/>
      <c r="O42" s="30"/>
      <c r="P42" s="24"/>
      <c r="Q42" s="24"/>
      <c r="R42" s="71"/>
      <c r="S42" s="71"/>
      <c r="T42" s="71"/>
      <c r="U42" s="128"/>
      <c r="V42" s="128"/>
      <c r="W42" s="71"/>
      <c r="X42" s="71"/>
      <c r="Y42" s="71"/>
      <c r="Z42" s="71"/>
      <c r="AA42" s="71"/>
      <c r="AB42" s="71"/>
      <c r="AC42" s="22"/>
      <c r="AD42" s="22"/>
      <c r="AE42" s="22"/>
      <c r="AF42" s="22"/>
      <c r="AG42" s="22"/>
      <c r="AH42" s="22"/>
      <c r="AI42" s="22"/>
      <c r="AJ42" s="22"/>
      <c r="AK42" s="22"/>
      <c r="AL42" s="22"/>
      <c r="AM42" s="22"/>
      <c r="AN42" s="22"/>
      <c r="AO42" s="22"/>
      <c r="AP42" s="22"/>
      <c r="AQ42" s="22"/>
      <c r="AR42" s="22"/>
      <c r="AS42" s="22"/>
    </row>
    <row r="43" spans="1:45" ht="37.5" customHeight="1" x14ac:dyDescent="0.3">
      <c r="A43" s="22"/>
      <c r="B43" s="75"/>
      <c r="C43" s="416" t="str">
        <f>IF(INDEX(Status_Systeme,$A$2)=TRUE,"",$A$2&amp;".4 "&amp;UPPER(INDEX(Auswahl!$P$2:$P$6,4)))</f>
        <v>5.4 ENERGIEKOSTEN</v>
      </c>
      <c r="D43" s="416"/>
      <c r="E43" s="416"/>
      <c r="F43" s="416"/>
      <c r="G43" s="411" t="str">
        <f>IF(INDEX(Status_Systeme,$A$2)=TRUE,"","Energiebedarf"&amp;CHAR(10)&amp;"[kWh/a]")</f>
        <v>Energiebedarf
[kWh/a]</v>
      </c>
      <c r="H43" s="411"/>
      <c r="I43" s="411"/>
      <c r="J43" s="67" t="str">
        <f>IF(INDEX(Status_Systeme,$A$2)=TRUE,"","Energiepreis"&amp;IF(C46="","",IF(C41="","²","³"))&amp;CHAR(10)&amp;"[€/kWh]")</f>
        <v>Energiepreis²
[€/kWh]</v>
      </c>
      <c r="K43" s="409" t="str">
        <f>IF(INDEX(Status_Systeme,$A$2)=TRUE,"","Gesamtkosten"&amp;CHAR(2)&amp;CHAR(10)&amp;"nach "&amp;Basis_Betrachtungszeitraum&amp;"a [€]"&amp;CHAR(2))</f>
        <v>Gesamtkosten_x0002_
nach 20a [€]_x0002_</v>
      </c>
      <c r="L43" s="409"/>
      <c r="M43" s="76"/>
      <c r="N43" s="78"/>
      <c r="O43" s="30"/>
      <c r="P43" s="22"/>
      <c r="Q43" s="22"/>
      <c r="R43" s="71"/>
      <c r="S43" s="70" t="s">
        <v>180</v>
      </c>
      <c r="T43" s="70" t="s">
        <v>160</v>
      </c>
      <c r="U43" s="70" t="s">
        <v>161</v>
      </c>
      <c r="V43" s="70" t="s">
        <v>162</v>
      </c>
      <c r="W43" s="71"/>
      <c r="X43" s="71"/>
      <c r="Y43" s="71"/>
      <c r="Z43" s="71"/>
      <c r="AA43" s="71"/>
      <c r="AB43" s="71"/>
      <c r="AC43" s="22"/>
      <c r="AD43" s="22"/>
      <c r="AE43" s="22"/>
      <c r="AF43" s="22"/>
      <c r="AG43" s="22"/>
      <c r="AH43" s="22"/>
      <c r="AI43" s="22"/>
      <c r="AJ43" s="22"/>
      <c r="AK43" s="22"/>
      <c r="AL43" s="22"/>
      <c r="AM43" s="22"/>
      <c r="AN43" s="22"/>
      <c r="AO43" s="22"/>
      <c r="AP43" s="22"/>
      <c r="AQ43" s="22"/>
      <c r="AR43" s="22"/>
      <c r="AS43" s="22"/>
    </row>
    <row r="44" spans="1:45" x14ac:dyDescent="0.3">
      <c r="A44" s="22"/>
      <c r="B44" s="75"/>
      <c r="C44" s="81" t="str">
        <f>IF(INDEX(Status_Systeme,$A$2)=TRUE,"","A | RAUMWÄRME")</f>
        <v>A | RAUMWÄRME</v>
      </c>
      <c r="D44" s="414" t="str">
        <f>IF(INDEX(Status_Systeme,$A$2)=TRUE,"",VLOOKUP(Auswahl!$H$8,Tabelle_Betriebskosten,2,FALSE))</f>
        <v>Strom</v>
      </c>
      <c r="E44" s="414"/>
      <c r="F44" s="414"/>
      <c r="G44" s="418">
        <f>IF(INDEX(Status_Systeme,$A$2)=TRUE,"",EA_QhSK_calc*INDEX(EA_EAWZ_RH_calc,$A$2))</f>
        <v>0</v>
      </c>
      <c r="H44" s="418"/>
      <c r="I44" s="418"/>
      <c r="J44" s="59">
        <f>IF(OR(D44="",G44=""),"",VLOOKUP(D44,Tabelle_Energie,8,FALSE))</f>
        <v>0.16250000000000001</v>
      </c>
      <c r="K44" s="419">
        <f>IF(J44="","",J44*G44*V44)</f>
        <v>0</v>
      </c>
      <c r="L44" s="419"/>
      <c r="M44" s="76"/>
      <c r="N44" s="78"/>
      <c r="O44" s="30"/>
      <c r="P44" s="55"/>
      <c r="Q44" s="55"/>
      <c r="R44" s="71"/>
      <c r="S44" s="72" t="b">
        <f>VLOOKUP(D44,Tabelle_Energie,6,FALSE)=VLOOKUP(D44,Tabelle_Energie,7,FALSE)</f>
        <v>0</v>
      </c>
      <c r="T44" s="105">
        <f>VLOOKUP(D44,Tabelle_Energie,5,FALSE)</f>
        <v>2.4E-2</v>
      </c>
      <c r="U44" s="103">
        <f>(1-((1+T44)/(1+Basis_Marktzins))^Basis_Betrachtungszeitraum)/(1-((1+Basis_Inflation)/(1+Basis_Marktzins))^Basis_Betrachtungszeitraum)*((Basis_Marktzins-Basis_Inflation)/(1+Basis_Inflation))/((Basis_Marktzins-T44)/(1+T44))</f>
        <v>1.0392951829175132</v>
      </c>
      <c r="V44" s="103">
        <f>Basis_Barwertfaktor*U44</f>
        <v>16.692401383076287</v>
      </c>
      <c r="W44" s="71"/>
      <c r="X44" s="71"/>
      <c r="Y44" s="71"/>
      <c r="Z44" s="71"/>
      <c r="AA44" s="71"/>
      <c r="AB44" s="71"/>
      <c r="AC44" s="22"/>
      <c r="AD44" s="22"/>
      <c r="AE44" s="22"/>
      <c r="AF44" s="22"/>
      <c r="AG44" s="22"/>
      <c r="AH44" s="22"/>
      <c r="AI44" s="22"/>
      <c r="AJ44" s="22"/>
      <c r="AK44" s="22"/>
      <c r="AL44" s="22"/>
      <c r="AM44" s="22"/>
      <c r="AN44" s="22"/>
      <c r="AO44" s="22"/>
      <c r="AP44" s="22"/>
      <c r="AQ44" s="22"/>
      <c r="AR44" s="22"/>
      <c r="AS44" s="22"/>
    </row>
    <row r="45" spans="1:45" x14ac:dyDescent="0.3">
      <c r="A45" s="22"/>
      <c r="B45" s="75"/>
      <c r="C45" s="81" t="str">
        <f>IF(INDEX(Status_Systeme,$A$2)=TRUE,"","B | WARMWASSER")</f>
        <v>B | WARMWASSER</v>
      </c>
      <c r="D45" s="414" t="str">
        <f>IF(INDEX(Status_Systeme,$A$2)=TRUE,"",IF(Basis_WW_dezentral=FALSE,D44,INDEX(Tabelle_Energie,8,1)))</f>
        <v>Strom</v>
      </c>
      <c r="E45" s="414"/>
      <c r="F45" s="414"/>
      <c r="G45" s="418">
        <f>IF(INDEX(Status_Systeme,$A$2)=TRUE,"",EA_Qtw_calc*INDEX(EA_EAWZ_WW_calc,$A$2))</f>
        <v>0</v>
      </c>
      <c r="H45" s="418"/>
      <c r="I45" s="418"/>
      <c r="J45" s="59">
        <f>IF(OR(D45="",G45=""),"",VLOOKUP(D45,Tabelle_Energie,8,FALSE))</f>
        <v>0.16250000000000001</v>
      </c>
      <c r="K45" s="419">
        <f>IF(J45="","",J45*G45*V45)</f>
        <v>0</v>
      </c>
      <c r="L45" s="419"/>
      <c r="M45" s="76"/>
      <c r="N45" s="78"/>
      <c r="O45" s="30"/>
      <c r="P45" s="55"/>
      <c r="Q45" s="55"/>
      <c r="R45" s="71"/>
      <c r="S45" s="72" t="b">
        <f>VLOOKUP(D45,Tabelle_Energie,6,FALSE)=VLOOKUP(D45,Tabelle_Energie,7,FALSE)</f>
        <v>0</v>
      </c>
      <c r="T45" s="105">
        <f>VLOOKUP(D45,Tabelle_Energie,5,FALSE)</f>
        <v>2.4E-2</v>
      </c>
      <c r="U45" s="103">
        <f>(1-((1+T45)/(1+Basis_Marktzins))^Basis_Betrachtungszeitraum)/(1-((1+Basis_Inflation)/(1+Basis_Marktzins))^Basis_Betrachtungszeitraum)*((Basis_Marktzins-Basis_Inflation)/(1+Basis_Inflation))/((Basis_Marktzins-T45)/(1+T45))</f>
        <v>1.0392951829175132</v>
      </c>
      <c r="V45" s="103">
        <f>Basis_Barwertfaktor*U45</f>
        <v>16.692401383076287</v>
      </c>
      <c r="W45" s="71"/>
      <c r="X45" s="71"/>
      <c r="Y45" s="71"/>
      <c r="Z45" s="71"/>
      <c r="AA45" s="71"/>
      <c r="AB45" s="71"/>
      <c r="AC45" s="22"/>
      <c r="AD45" s="22"/>
      <c r="AE45" s="22"/>
      <c r="AF45" s="22"/>
      <c r="AG45" s="22"/>
      <c r="AH45" s="22"/>
      <c r="AI45" s="22"/>
      <c r="AJ45" s="22"/>
      <c r="AK45" s="22"/>
      <c r="AL45" s="22"/>
      <c r="AM45" s="22"/>
      <c r="AN45" s="22"/>
      <c r="AO45" s="22"/>
      <c r="AP45" s="22"/>
      <c r="AQ45" s="22"/>
      <c r="AR45" s="22"/>
      <c r="AS45" s="22"/>
    </row>
    <row r="46" spans="1:45" x14ac:dyDescent="0.3">
      <c r="A46" s="22"/>
      <c r="C46" s="224" t="str">
        <f>IF(INDEX(Status_Systeme,$A$2)=TRUE,"",IF(OR(EA_BGF&gt;=3000,EA_WG=FALSE),IF(C41="","²","³")&amp;" Energiekosten lt. CostOpt 2019, Änderung in Registerblatt "&amp;Auswahl!G10&amp;" | "&amp;Auswahl!H10&amp;" möglich.",""))</f>
        <v>² Energiekosten lt. CostOpt 2019, Änderung in Registerblatt 7 | Rahmenbedingungen möglich.</v>
      </c>
      <c r="D46" s="53"/>
      <c r="E46" s="53"/>
      <c r="F46" s="53"/>
      <c r="G46" s="53"/>
      <c r="H46" s="53"/>
      <c r="I46" s="53"/>
      <c r="J46" s="53"/>
      <c r="K46" s="53"/>
      <c r="L46" s="50"/>
      <c r="M46" s="76"/>
      <c r="N46" s="78"/>
      <c r="O46" s="30"/>
      <c r="P46" s="24"/>
      <c r="Q46" s="24"/>
      <c r="R46" s="71"/>
      <c r="S46" s="71"/>
      <c r="T46" s="71"/>
      <c r="U46" s="128"/>
      <c r="V46" s="128"/>
      <c r="W46" s="71"/>
      <c r="X46" s="71"/>
      <c r="Y46" s="71"/>
      <c r="Z46" s="71"/>
      <c r="AA46" s="71"/>
      <c r="AB46" s="71"/>
      <c r="AC46" s="22"/>
      <c r="AD46" s="22"/>
      <c r="AE46" s="22"/>
      <c r="AF46" s="22"/>
      <c r="AG46" s="22"/>
      <c r="AH46" s="22"/>
      <c r="AI46" s="22"/>
      <c r="AJ46" s="22"/>
      <c r="AK46" s="22"/>
      <c r="AL46" s="22"/>
      <c r="AM46" s="22"/>
      <c r="AN46" s="22"/>
      <c r="AO46" s="22"/>
      <c r="AP46" s="22"/>
      <c r="AQ46" s="22"/>
      <c r="AR46" s="22"/>
      <c r="AS46" s="22"/>
    </row>
    <row r="47" spans="1:45" ht="7.5" hidden="1" customHeight="1" x14ac:dyDescent="0.3">
      <c r="A47" s="190" t="s">
        <v>156</v>
      </c>
      <c r="C47" s="53"/>
      <c r="D47" s="53"/>
      <c r="E47" s="53"/>
      <c r="F47" s="53"/>
      <c r="G47" s="53"/>
      <c r="H47" s="53"/>
      <c r="I47" s="53"/>
      <c r="J47" s="53"/>
      <c r="K47" s="53"/>
      <c r="L47" s="50"/>
      <c r="M47" s="76"/>
      <c r="N47" s="78"/>
      <c r="O47" s="30"/>
      <c r="P47" s="24"/>
      <c r="Q47" s="24"/>
      <c r="R47" s="71"/>
      <c r="S47" s="71"/>
      <c r="T47" s="71"/>
      <c r="U47" s="128"/>
      <c r="V47" s="128"/>
      <c r="W47" s="71"/>
      <c r="X47" s="71"/>
      <c r="Y47" s="71"/>
      <c r="Z47" s="71"/>
      <c r="AA47" s="71"/>
      <c r="AB47" s="71"/>
      <c r="AC47" s="22"/>
      <c r="AD47" s="22"/>
      <c r="AE47" s="22"/>
      <c r="AF47" s="22"/>
      <c r="AG47" s="22"/>
      <c r="AH47" s="22"/>
      <c r="AI47" s="22"/>
      <c r="AJ47" s="22"/>
      <c r="AK47" s="22"/>
      <c r="AL47" s="22"/>
      <c r="AM47" s="22"/>
      <c r="AN47" s="22"/>
      <c r="AO47" s="22"/>
      <c r="AP47" s="22"/>
      <c r="AQ47" s="22"/>
      <c r="AR47" s="22"/>
      <c r="AS47" s="22"/>
    </row>
    <row r="48" spans="1:45" ht="37.5" hidden="1" customHeight="1" x14ac:dyDescent="0.3">
      <c r="A48" s="190" t="s">
        <v>156</v>
      </c>
      <c r="B48" s="75"/>
      <c r="C48" s="416" t="str">
        <f>IF(OR(INDEX(Status_Systeme,$A$2)=TRUE,EA_PV_Status=FALSE),"",$A$2&amp;".5 "&amp;UPPER(INDEX(Auswahl!$P$2:$P$6,5)))</f>
        <v/>
      </c>
      <c r="D48" s="416"/>
      <c r="E48" s="416"/>
      <c r="F48" s="416"/>
      <c r="G48" s="411" t="str">
        <f>IF(OR(INDEX(Status_Systeme,$A$2)=TRUE,EA_PV_Status=FALSE),"","Energiegewinn"&amp;CHAR(10)&amp;"[kWh/a]")</f>
        <v/>
      </c>
      <c r="H48" s="411"/>
      <c r="I48" s="411"/>
      <c r="J48" s="67" t="str">
        <f>IF(OR(INDEX(Status_Systeme,$A$2)=TRUE,EA_PV_Status=FALSE),"","Energiepreis*"&amp;CHAR(10)&amp;"[€/kWh]")</f>
        <v/>
      </c>
      <c r="K48" s="409" t="str">
        <f>IF(OR(INDEX(Status_Systeme,$A$2)=TRUE,EA_PV_Status=FALSE),"","Gesamtkosten"&amp;CHAR(2)&amp;CHAR(10)&amp;"nach T [€]"&amp;CHAR(2))</f>
        <v/>
      </c>
      <c r="L48" s="409"/>
      <c r="M48" s="76"/>
      <c r="N48" s="78"/>
      <c r="O48" s="30"/>
      <c r="P48" s="22"/>
      <c r="Q48" s="22"/>
      <c r="R48" s="71"/>
      <c r="S48" s="70" t="s">
        <v>180</v>
      </c>
      <c r="T48" s="70" t="s">
        <v>160</v>
      </c>
      <c r="U48" s="70" t="s">
        <v>161</v>
      </c>
      <c r="V48" s="70" t="s">
        <v>162</v>
      </c>
      <c r="W48" s="71"/>
      <c r="X48" s="71"/>
      <c r="Y48" s="71"/>
      <c r="Z48" s="71"/>
      <c r="AA48" s="71"/>
      <c r="AB48" s="71"/>
      <c r="AC48" s="22"/>
      <c r="AD48" s="22"/>
      <c r="AE48" s="22"/>
      <c r="AF48" s="22"/>
      <c r="AG48" s="22"/>
      <c r="AH48" s="22"/>
      <c r="AI48" s="22"/>
      <c r="AJ48" s="22"/>
      <c r="AK48" s="22"/>
      <c r="AL48" s="22"/>
      <c r="AM48" s="22"/>
      <c r="AN48" s="22"/>
      <c r="AO48" s="22"/>
      <c r="AP48" s="22"/>
      <c r="AQ48" s="22"/>
      <c r="AR48" s="22"/>
      <c r="AS48" s="22"/>
    </row>
    <row r="49" spans="1:45" hidden="1" x14ac:dyDescent="0.3">
      <c r="A49" s="190" t="s">
        <v>156</v>
      </c>
      <c r="B49" s="75"/>
      <c r="C49" s="81" t="str">
        <f>IF(OR(INDEX(Status_Systeme,$A$2)=TRUE,EA_PV_Status=FALSE),"","A | EIGENVERBRAUCH")</f>
        <v/>
      </c>
      <c r="D49" s="414" t="str">
        <f>IF(OR(INDEX(Status_Systeme,$A$2)=TRUE,EA_PV_Status=FALSE),"",INDEX(Tabelle_Energie,8,1))</f>
        <v/>
      </c>
      <c r="E49" s="414"/>
      <c r="F49" s="414"/>
      <c r="G49" s="418"/>
      <c r="H49" s="418"/>
      <c r="I49" s="418"/>
      <c r="J49" s="59"/>
      <c r="K49" s="419"/>
      <c r="L49" s="419"/>
      <c r="M49" s="76"/>
      <c r="N49" s="78"/>
      <c r="O49" s="30"/>
      <c r="P49" s="55"/>
      <c r="Q49" s="55"/>
      <c r="R49" s="71"/>
      <c r="S49" s="72" t="e">
        <f>VLOOKUP(D49,Tabelle_Energie,6,FALSE)=VLOOKUP(D49,Tabelle_Energie,7,FALSE)</f>
        <v>#N/A</v>
      </c>
      <c r="T49" s="105" t="e">
        <f>VLOOKUP(D49,Tabelle_Energie,5,FALSE)</f>
        <v>#N/A</v>
      </c>
      <c r="U49" s="103" t="e">
        <f>(1-((1+T49)/(1+Basis_Marktzins))^Basis_Betrachtungszeitraum)/(1-((1+Basis_Inflation)/(1+Basis_Marktzins))^Basis_Betrachtungszeitraum)*((Basis_Marktzins-Basis_Inflation)/(1+Basis_Inflation))/((Basis_Marktzins-T49)/(1+T49))</f>
        <v>#N/A</v>
      </c>
      <c r="V49" s="103" t="e">
        <f>Basis_Barwertfaktor*U49</f>
        <v>#N/A</v>
      </c>
      <c r="W49" s="71"/>
      <c r="X49" s="71"/>
      <c r="Y49" s="71"/>
      <c r="Z49" s="71"/>
      <c r="AA49" s="71"/>
      <c r="AB49" s="71"/>
      <c r="AC49" s="22"/>
      <c r="AD49" s="22"/>
      <c r="AE49" s="22"/>
      <c r="AF49" s="22"/>
      <c r="AG49" s="22"/>
      <c r="AH49" s="22"/>
      <c r="AI49" s="22"/>
      <c r="AJ49" s="22"/>
      <c r="AK49" s="22"/>
      <c r="AL49" s="22"/>
      <c r="AM49" s="22"/>
      <c r="AN49" s="22"/>
      <c r="AO49" s="22"/>
      <c r="AP49" s="22"/>
      <c r="AQ49" s="22"/>
      <c r="AR49" s="22"/>
      <c r="AS49" s="22"/>
    </row>
    <row r="50" spans="1:45" hidden="1" x14ac:dyDescent="0.3">
      <c r="A50" s="190" t="s">
        <v>156</v>
      </c>
      <c r="B50" s="75"/>
      <c r="C50" s="81" t="str">
        <f>IF(OR(INDEX(Status_Systeme,$A$2)=TRUE,EA_PV_Status=FALSE),"","B | ÜBERSCHUSS")</f>
        <v/>
      </c>
      <c r="D50" s="414" t="str">
        <f>IF(OR(INDEX(Status_Systeme,$A$2)=TRUE,EA_PV_Status=FALSE),"",INDEX(Tabelle_Energie,8,1))</f>
        <v/>
      </c>
      <c r="E50" s="414"/>
      <c r="F50" s="414"/>
      <c r="G50" s="418"/>
      <c r="H50" s="418"/>
      <c r="I50" s="418"/>
      <c r="J50" s="59"/>
      <c r="K50" s="419"/>
      <c r="L50" s="419"/>
      <c r="M50" s="76"/>
      <c r="N50" s="78"/>
      <c r="O50" s="30"/>
      <c r="P50" s="55"/>
      <c r="Q50" s="55"/>
      <c r="R50" s="71"/>
      <c r="S50" s="72" t="e">
        <f>VLOOKUP(D50,Tabelle_Energie,6,FALSE)=VLOOKUP(D50,Tabelle_Energie,7,FALSE)</f>
        <v>#N/A</v>
      </c>
      <c r="T50" s="105" t="e">
        <f>VLOOKUP(D50,Tabelle_Energie,5,FALSE)</f>
        <v>#N/A</v>
      </c>
      <c r="U50" s="103" t="e">
        <f>(1-((1+T50)/(1+Basis_Marktzins))^Basis_Betrachtungszeitraum)/(1-((1+Basis_Inflation)/(1+Basis_Marktzins))^Basis_Betrachtungszeitraum)*((Basis_Marktzins-Basis_Inflation)/(1+Basis_Inflation))/((Basis_Marktzins-T50)/(1+T50))</f>
        <v>#N/A</v>
      </c>
      <c r="V50" s="103" t="e">
        <f>Basis_Barwertfaktor*U50</f>
        <v>#N/A</v>
      </c>
      <c r="W50" s="71"/>
      <c r="X50" s="71"/>
      <c r="Y50" s="71"/>
      <c r="Z50" s="71"/>
      <c r="AA50" s="71"/>
      <c r="AB50" s="71"/>
      <c r="AC50" s="22"/>
      <c r="AD50" s="22"/>
      <c r="AE50" s="22"/>
      <c r="AF50" s="22"/>
      <c r="AG50" s="22"/>
      <c r="AH50" s="22"/>
      <c r="AI50" s="22"/>
      <c r="AJ50" s="22"/>
      <c r="AK50" s="22"/>
      <c r="AL50" s="22"/>
      <c r="AM50" s="22"/>
      <c r="AN50" s="22"/>
      <c r="AO50" s="22"/>
      <c r="AP50" s="22"/>
      <c r="AQ50" s="22"/>
      <c r="AR50" s="22"/>
      <c r="AS50" s="22"/>
    </row>
    <row r="51" spans="1:45" x14ac:dyDescent="0.3">
      <c r="A51" s="22"/>
      <c r="B51" s="71"/>
      <c r="C51" s="24"/>
      <c r="D51" s="24"/>
      <c r="E51" s="31"/>
      <c r="F51" s="24"/>
      <c r="G51" s="24"/>
      <c r="H51" s="24"/>
      <c r="I51" s="31"/>
      <c r="J51" s="24"/>
      <c r="K51" s="24"/>
      <c r="L51" s="24"/>
      <c r="M51" s="78"/>
      <c r="N51" s="78"/>
      <c r="O51" s="24"/>
      <c r="P51" s="24"/>
      <c r="Q51" s="24"/>
      <c r="R51" s="71"/>
      <c r="S51" s="71"/>
      <c r="T51" s="71"/>
      <c r="U51" s="128"/>
      <c r="V51" s="128"/>
      <c r="W51" s="71"/>
      <c r="X51" s="71"/>
      <c r="Y51" s="71"/>
      <c r="Z51" s="71"/>
      <c r="AA51" s="71"/>
      <c r="AB51" s="71"/>
      <c r="AC51" s="22"/>
      <c r="AD51" s="22"/>
      <c r="AE51" s="22"/>
      <c r="AF51" s="22"/>
      <c r="AG51" s="22"/>
      <c r="AH51" s="22"/>
      <c r="AI51" s="22"/>
      <c r="AJ51" s="22"/>
      <c r="AK51" s="22"/>
      <c r="AL51" s="22"/>
      <c r="AM51" s="22"/>
      <c r="AN51" s="22"/>
      <c r="AO51" s="22"/>
      <c r="AP51" s="22"/>
      <c r="AQ51" s="22"/>
      <c r="AR51" s="22"/>
      <c r="AS51" s="22"/>
    </row>
    <row r="52" spans="1:45" x14ac:dyDescent="0.3">
      <c r="A52" s="22"/>
      <c r="B52" s="71"/>
      <c r="C52" s="24"/>
      <c r="D52" s="24"/>
      <c r="E52" s="31"/>
      <c r="F52" s="24"/>
      <c r="G52" s="24"/>
      <c r="H52" s="24"/>
      <c r="I52" s="31"/>
      <c r="J52" s="24"/>
      <c r="K52" s="24"/>
      <c r="L52" s="24"/>
      <c r="M52" s="78"/>
      <c r="N52" s="78"/>
      <c r="O52" s="24"/>
      <c r="P52" s="24"/>
      <c r="Q52" s="24"/>
      <c r="R52" s="71"/>
      <c r="S52" s="71"/>
      <c r="T52" s="71"/>
      <c r="U52" s="71"/>
      <c r="V52" s="71"/>
      <c r="W52" s="71"/>
      <c r="X52" s="71"/>
      <c r="Y52" s="71"/>
      <c r="Z52" s="71"/>
      <c r="AA52" s="71"/>
      <c r="AB52" s="71"/>
      <c r="AC52" s="22"/>
      <c r="AD52" s="22"/>
      <c r="AE52" s="22"/>
      <c r="AF52" s="22"/>
      <c r="AG52" s="22"/>
      <c r="AH52" s="22"/>
      <c r="AI52" s="22"/>
      <c r="AJ52" s="22"/>
      <c r="AK52" s="22"/>
      <c r="AL52" s="22"/>
      <c r="AM52" s="22"/>
      <c r="AN52" s="22"/>
      <c r="AO52" s="22"/>
      <c r="AP52" s="22"/>
      <c r="AQ52" s="22"/>
      <c r="AR52" s="22"/>
      <c r="AS52" s="22"/>
    </row>
    <row r="53" spans="1:45" x14ac:dyDescent="0.3">
      <c r="A53" s="22"/>
      <c r="B53" s="71"/>
      <c r="C53" s="56"/>
      <c r="D53" s="56"/>
      <c r="E53" s="29"/>
      <c r="F53" s="29"/>
      <c r="G53" s="29"/>
      <c r="H53" s="29"/>
      <c r="I53" s="29"/>
      <c r="J53" s="29"/>
      <c r="K53" s="29"/>
      <c r="L53" s="57"/>
      <c r="M53" s="78"/>
      <c r="N53" s="78"/>
      <c r="O53" s="24"/>
      <c r="P53" s="24"/>
      <c r="Q53" s="24"/>
      <c r="R53" s="71"/>
      <c r="S53" s="71"/>
      <c r="T53" s="71"/>
      <c r="U53" s="71"/>
      <c r="V53" s="71"/>
      <c r="W53" s="71"/>
      <c r="X53" s="71"/>
      <c r="Y53" s="71"/>
      <c r="Z53" s="71"/>
      <c r="AA53" s="71"/>
      <c r="AB53" s="71"/>
      <c r="AC53" s="22"/>
      <c r="AD53" s="22"/>
      <c r="AE53" s="22"/>
      <c r="AF53" s="22"/>
      <c r="AG53" s="22"/>
      <c r="AH53" s="22"/>
      <c r="AI53" s="22"/>
      <c r="AJ53" s="22"/>
      <c r="AK53" s="22"/>
      <c r="AL53" s="22"/>
      <c r="AM53" s="22"/>
      <c r="AN53" s="22"/>
      <c r="AO53" s="22"/>
      <c r="AP53" s="22"/>
      <c r="AQ53" s="22"/>
      <c r="AR53" s="22"/>
      <c r="AS53" s="22"/>
    </row>
    <row r="54" spans="1:45" x14ac:dyDescent="0.3">
      <c r="A54" s="22"/>
      <c r="B54" s="71"/>
      <c r="C54" s="24"/>
      <c r="D54" s="24"/>
      <c r="E54" s="31"/>
      <c r="F54" s="24"/>
      <c r="G54" s="24"/>
      <c r="H54" s="24"/>
      <c r="I54" s="31"/>
      <c r="J54" s="24"/>
      <c r="K54" s="24"/>
      <c r="L54" s="24"/>
      <c r="M54" s="78"/>
      <c r="N54" s="78"/>
      <c r="O54" s="24"/>
      <c r="P54" s="24"/>
      <c r="Q54" s="24"/>
      <c r="R54" s="71"/>
      <c r="S54" s="71"/>
      <c r="T54" s="71"/>
      <c r="U54" s="71"/>
      <c r="V54" s="71"/>
      <c r="W54" s="71"/>
      <c r="X54" s="71"/>
      <c r="Y54" s="71"/>
      <c r="Z54" s="71"/>
      <c r="AA54" s="71"/>
      <c r="AB54" s="71"/>
      <c r="AC54" s="22"/>
      <c r="AD54" s="22"/>
      <c r="AE54" s="22"/>
      <c r="AF54" s="22"/>
      <c r="AG54" s="22"/>
      <c r="AH54" s="22"/>
      <c r="AI54" s="22"/>
      <c r="AJ54" s="22"/>
      <c r="AK54" s="22"/>
      <c r="AL54" s="22"/>
      <c r="AM54" s="22"/>
      <c r="AN54" s="22"/>
      <c r="AO54" s="22"/>
      <c r="AP54" s="22"/>
      <c r="AQ54" s="22"/>
      <c r="AR54" s="22"/>
      <c r="AS54" s="22"/>
    </row>
    <row r="55" spans="1:45" x14ac:dyDescent="0.3">
      <c r="A55" s="22"/>
      <c r="B55" s="71"/>
      <c r="C55" s="24"/>
      <c r="D55" s="24"/>
      <c r="E55" s="31"/>
      <c r="F55" s="24"/>
      <c r="G55" s="24"/>
      <c r="H55" s="24"/>
      <c r="I55" s="31"/>
      <c r="J55" s="24"/>
      <c r="K55" s="24"/>
      <c r="L55" s="24"/>
      <c r="M55" s="78"/>
      <c r="N55" s="78"/>
      <c r="O55" s="24"/>
      <c r="P55" s="24"/>
      <c r="Q55" s="24"/>
      <c r="R55" s="71"/>
      <c r="S55" s="71"/>
      <c r="T55" s="71"/>
      <c r="U55" s="71"/>
      <c r="V55" s="71"/>
      <c r="W55" s="71"/>
      <c r="X55" s="71"/>
      <c r="Y55" s="71"/>
      <c r="Z55" s="71"/>
      <c r="AA55" s="71"/>
      <c r="AB55" s="71"/>
      <c r="AC55" s="22"/>
      <c r="AD55" s="22"/>
      <c r="AE55" s="22"/>
      <c r="AF55" s="22"/>
      <c r="AG55" s="22"/>
      <c r="AH55" s="22"/>
      <c r="AI55" s="22"/>
      <c r="AJ55" s="22"/>
      <c r="AK55" s="22"/>
      <c r="AL55" s="22"/>
      <c r="AM55" s="22"/>
      <c r="AN55" s="22"/>
      <c r="AO55" s="22"/>
      <c r="AP55" s="22"/>
      <c r="AQ55" s="22"/>
      <c r="AR55" s="22"/>
      <c r="AS55" s="22"/>
    </row>
    <row r="56" spans="1:45" x14ac:dyDescent="0.3">
      <c r="A56" s="22"/>
      <c r="B56" s="71"/>
      <c r="C56" s="24"/>
      <c r="D56" s="24"/>
      <c r="E56" s="31"/>
      <c r="F56" s="24"/>
      <c r="G56" s="24"/>
      <c r="H56" s="24"/>
      <c r="I56" s="31"/>
      <c r="J56" s="24"/>
      <c r="K56" s="24"/>
      <c r="L56" s="24"/>
      <c r="M56" s="78"/>
      <c r="N56" s="78"/>
      <c r="O56" s="24"/>
      <c r="P56" s="24"/>
      <c r="Q56" s="24"/>
      <c r="R56" s="71"/>
      <c r="S56" s="71"/>
      <c r="T56" s="71"/>
      <c r="U56" s="71"/>
      <c r="V56" s="71"/>
      <c r="W56" s="71"/>
      <c r="X56" s="71"/>
      <c r="Y56" s="71"/>
      <c r="Z56" s="71"/>
      <c r="AA56" s="71"/>
      <c r="AB56" s="71"/>
      <c r="AC56" s="22"/>
      <c r="AD56" s="22"/>
      <c r="AE56" s="22"/>
      <c r="AF56" s="22"/>
      <c r="AG56" s="22"/>
      <c r="AH56" s="22"/>
      <c r="AI56" s="22"/>
      <c r="AJ56" s="22"/>
      <c r="AK56" s="22"/>
      <c r="AL56" s="22"/>
      <c r="AM56" s="22"/>
      <c r="AN56" s="22"/>
      <c r="AO56" s="22"/>
      <c r="AP56" s="22"/>
      <c r="AQ56" s="22"/>
      <c r="AR56" s="22"/>
      <c r="AS56" s="22"/>
    </row>
    <row r="57" spans="1:45" x14ac:dyDescent="0.3">
      <c r="A57" s="22"/>
      <c r="B57" s="71"/>
      <c r="C57" s="24"/>
      <c r="D57" s="24"/>
      <c r="E57" s="31"/>
      <c r="F57" s="24"/>
      <c r="G57" s="24"/>
      <c r="H57" s="24"/>
      <c r="I57" s="31"/>
      <c r="J57" s="24"/>
      <c r="K57" s="24"/>
      <c r="L57" s="24"/>
      <c r="M57" s="78"/>
      <c r="N57" s="78"/>
      <c r="O57" s="24"/>
      <c r="P57" s="24"/>
      <c r="Q57" s="24"/>
      <c r="R57" s="71"/>
      <c r="S57" s="71"/>
      <c r="T57" s="71"/>
      <c r="U57" s="71"/>
      <c r="V57" s="71"/>
      <c r="W57" s="71"/>
      <c r="X57" s="71"/>
      <c r="Y57" s="71"/>
      <c r="Z57" s="71"/>
      <c r="AA57" s="71"/>
      <c r="AB57" s="71"/>
      <c r="AC57" s="22"/>
      <c r="AD57" s="22"/>
      <c r="AE57" s="22"/>
      <c r="AF57" s="22"/>
      <c r="AG57" s="22"/>
      <c r="AH57" s="22"/>
      <c r="AI57" s="22"/>
      <c r="AJ57" s="22"/>
      <c r="AK57" s="22"/>
      <c r="AL57" s="22"/>
      <c r="AM57" s="22"/>
      <c r="AN57" s="22"/>
      <c r="AO57" s="22"/>
      <c r="AP57" s="22"/>
      <c r="AQ57" s="22"/>
      <c r="AR57" s="22"/>
      <c r="AS57" s="22"/>
    </row>
    <row r="58" spans="1:45" x14ac:dyDescent="0.3">
      <c r="A58" s="22"/>
      <c r="B58" s="71"/>
      <c r="C58" s="24"/>
      <c r="D58" s="31"/>
      <c r="E58" s="24"/>
      <c r="F58" s="24"/>
      <c r="G58" s="24"/>
      <c r="H58" s="31"/>
      <c r="I58" s="24"/>
      <c r="J58" s="24"/>
      <c r="K58" s="24"/>
      <c r="L58" s="31"/>
      <c r="M58" s="78"/>
      <c r="N58" s="78"/>
      <c r="O58" s="24"/>
      <c r="P58" s="24"/>
      <c r="Q58" s="24"/>
      <c r="R58" s="71"/>
      <c r="S58" s="71"/>
      <c r="T58" s="71"/>
      <c r="U58" s="71"/>
      <c r="V58" s="71"/>
      <c r="W58" s="71"/>
      <c r="X58" s="71"/>
      <c r="Y58" s="71"/>
      <c r="Z58" s="71"/>
      <c r="AA58" s="71"/>
      <c r="AB58" s="71"/>
      <c r="AC58" s="22"/>
      <c r="AD58" s="22"/>
      <c r="AE58" s="22"/>
      <c r="AF58" s="22"/>
      <c r="AG58" s="22"/>
      <c r="AH58" s="22"/>
      <c r="AI58" s="22"/>
      <c r="AJ58" s="22"/>
      <c r="AK58" s="22"/>
      <c r="AL58" s="22"/>
      <c r="AM58" s="22"/>
      <c r="AN58" s="22"/>
      <c r="AO58" s="22"/>
      <c r="AP58" s="22"/>
      <c r="AQ58" s="22"/>
      <c r="AR58" s="22"/>
      <c r="AS58" s="22"/>
    </row>
    <row r="59" spans="1:45" x14ac:dyDescent="0.3">
      <c r="A59" s="22"/>
      <c r="B59" s="71"/>
      <c r="C59" s="24"/>
      <c r="D59" s="31"/>
      <c r="E59" s="24"/>
      <c r="F59" s="24"/>
      <c r="G59" s="24"/>
      <c r="H59" s="31"/>
      <c r="I59" s="24"/>
      <c r="J59" s="24"/>
      <c r="K59" s="24"/>
      <c r="L59" s="31"/>
      <c r="M59" s="78"/>
      <c r="N59" s="78"/>
      <c r="O59" s="24"/>
      <c r="P59" s="24"/>
      <c r="Q59" s="24"/>
      <c r="R59" s="71"/>
      <c r="S59" s="71"/>
      <c r="T59" s="71"/>
      <c r="U59" s="71"/>
      <c r="V59" s="71"/>
      <c r="W59" s="71"/>
      <c r="X59" s="71"/>
      <c r="Y59" s="71"/>
      <c r="Z59" s="71"/>
      <c r="AA59" s="71"/>
      <c r="AB59" s="71"/>
      <c r="AC59" s="22"/>
      <c r="AD59" s="22"/>
      <c r="AE59" s="22"/>
      <c r="AF59" s="22"/>
      <c r="AG59" s="22"/>
      <c r="AH59" s="22"/>
      <c r="AI59" s="22"/>
      <c r="AJ59" s="22"/>
      <c r="AK59" s="22"/>
      <c r="AL59" s="22"/>
      <c r="AM59" s="22"/>
      <c r="AN59" s="22"/>
      <c r="AO59" s="22"/>
      <c r="AP59" s="22"/>
      <c r="AQ59" s="22"/>
      <c r="AR59" s="22"/>
      <c r="AS59" s="22"/>
    </row>
    <row r="60" spans="1:45" x14ac:dyDescent="0.3">
      <c r="A60" s="22"/>
      <c r="B60" s="71"/>
      <c r="C60" s="24"/>
      <c r="D60" s="31"/>
      <c r="E60" s="24"/>
      <c r="F60" s="24"/>
      <c r="G60" s="24"/>
      <c r="H60" s="31"/>
      <c r="I60" s="24"/>
      <c r="J60" s="24"/>
      <c r="K60" s="24"/>
      <c r="L60" s="31"/>
      <c r="M60" s="78"/>
      <c r="N60" s="78"/>
      <c r="O60" s="24"/>
      <c r="P60" s="24"/>
      <c r="Q60" s="24"/>
      <c r="R60" s="71"/>
      <c r="S60" s="71"/>
      <c r="T60" s="71"/>
      <c r="U60" s="71"/>
      <c r="V60" s="71"/>
      <c r="W60" s="71"/>
      <c r="X60" s="71"/>
      <c r="Y60" s="71"/>
      <c r="Z60" s="71"/>
      <c r="AA60" s="71"/>
      <c r="AB60" s="71"/>
      <c r="AC60" s="22"/>
      <c r="AD60" s="22"/>
      <c r="AE60" s="22"/>
      <c r="AF60" s="22"/>
      <c r="AG60" s="22"/>
      <c r="AH60" s="22"/>
      <c r="AI60" s="22"/>
      <c r="AJ60" s="22"/>
      <c r="AK60" s="22"/>
      <c r="AL60" s="22"/>
      <c r="AM60" s="22"/>
      <c r="AN60" s="22"/>
      <c r="AO60" s="22"/>
      <c r="AP60" s="22"/>
      <c r="AQ60" s="22"/>
      <c r="AR60" s="22"/>
      <c r="AS60" s="22"/>
    </row>
    <row r="61" spans="1:45" x14ac:dyDescent="0.3">
      <c r="A61" s="22"/>
      <c r="B61" s="71"/>
      <c r="C61" s="24"/>
      <c r="D61" s="31"/>
      <c r="E61" s="24"/>
      <c r="F61" s="24"/>
      <c r="G61" s="24"/>
      <c r="H61" s="31"/>
      <c r="I61" s="24"/>
      <c r="J61" s="24"/>
      <c r="K61" s="24"/>
      <c r="L61" s="31"/>
      <c r="M61" s="78"/>
      <c r="N61" s="78"/>
      <c r="O61" s="24"/>
      <c r="P61" s="24"/>
      <c r="Q61" s="24"/>
      <c r="R61" s="71"/>
      <c r="S61" s="71"/>
      <c r="T61" s="71"/>
      <c r="U61" s="71"/>
      <c r="V61" s="71"/>
      <c r="W61" s="71"/>
      <c r="X61" s="71"/>
      <c r="Y61" s="71"/>
      <c r="Z61" s="71"/>
      <c r="AA61" s="71"/>
      <c r="AB61" s="71"/>
      <c r="AC61" s="22"/>
      <c r="AD61" s="22"/>
      <c r="AE61" s="22"/>
      <c r="AF61" s="22"/>
      <c r="AG61" s="22"/>
      <c r="AH61" s="22"/>
      <c r="AI61" s="22"/>
      <c r="AJ61" s="22"/>
      <c r="AK61" s="22"/>
      <c r="AL61" s="22"/>
      <c r="AM61" s="22"/>
      <c r="AN61" s="22"/>
      <c r="AO61" s="22"/>
      <c r="AP61" s="22"/>
      <c r="AQ61" s="22"/>
      <c r="AR61" s="22"/>
      <c r="AS61" s="22"/>
    </row>
    <row r="62" spans="1:45" x14ac:dyDescent="0.3">
      <c r="A62" s="22"/>
      <c r="B62" s="71"/>
      <c r="C62" s="24"/>
      <c r="D62" s="31"/>
      <c r="E62" s="24"/>
      <c r="F62" s="24"/>
      <c r="G62" s="24"/>
      <c r="H62" s="31"/>
      <c r="I62" s="24"/>
      <c r="J62" s="24"/>
      <c r="K62" s="24"/>
      <c r="L62" s="31"/>
      <c r="M62" s="78"/>
      <c r="N62" s="78"/>
      <c r="O62" s="24"/>
      <c r="P62" s="24"/>
      <c r="Q62" s="24"/>
      <c r="R62" s="71"/>
      <c r="S62" s="71"/>
      <c r="T62" s="71"/>
      <c r="U62" s="71"/>
      <c r="V62" s="71"/>
      <c r="W62" s="71"/>
      <c r="X62" s="71"/>
      <c r="Y62" s="71"/>
      <c r="Z62" s="71"/>
      <c r="AA62" s="71"/>
      <c r="AB62" s="71"/>
      <c r="AC62" s="22"/>
      <c r="AD62" s="22"/>
      <c r="AE62" s="22"/>
      <c r="AF62" s="22"/>
      <c r="AG62" s="22"/>
      <c r="AH62" s="22"/>
      <c r="AI62" s="22"/>
      <c r="AJ62" s="22"/>
      <c r="AK62" s="22"/>
      <c r="AL62" s="22"/>
      <c r="AM62" s="22"/>
      <c r="AN62" s="22"/>
      <c r="AO62" s="22"/>
      <c r="AP62" s="22"/>
      <c r="AQ62" s="22"/>
      <c r="AR62" s="22"/>
      <c r="AS62" s="22"/>
    </row>
    <row r="63" spans="1:45" x14ac:dyDescent="0.3">
      <c r="A63" s="22"/>
      <c r="B63" s="71"/>
      <c r="C63" s="24"/>
      <c r="D63" s="31"/>
      <c r="E63" s="24"/>
      <c r="F63" s="24"/>
      <c r="G63" s="24"/>
      <c r="H63" s="31"/>
      <c r="I63" s="24"/>
      <c r="J63" s="24"/>
      <c r="K63" s="24"/>
      <c r="L63" s="31"/>
      <c r="M63" s="78"/>
      <c r="N63" s="78"/>
      <c r="O63" s="24"/>
      <c r="P63" s="24"/>
      <c r="Q63" s="24"/>
      <c r="R63" s="71"/>
      <c r="S63" s="71"/>
      <c r="T63" s="71"/>
      <c r="U63" s="71"/>
      <c r="V63" s="71"/>
      <c r="W63" s="71"/>
      <c r="X63" s="71"/>
      <c r="Y63" s="71"/>
      <c r="Z63" s="71"/>
      <c r="AA63" s="71"/>
      <c r="AB63" s="71"/>
      <c r="AC63" s="22"/>
      <c r="AD63" s="22"/>
      <c r="AE63" s="22"/>
      <c r="AF63" s="22"/>
      <c r="AG63" s="22"/>
      <c r="AH63" s="22"/>
      <c r="AI63" s="22"/>
      <c r="AJ63" s="22"/>
      <c r="AK63" s="22"/>
      <c r="AL63" s="22"/>
      <c r="AM63" s="22"/>
      <c r="AN63" s="22"/>
      <c r="AO63" s="22"/>
      <c r="AP63" s="22"/>
      <c r="AQ63" s="22"/>
      <c r="AR63" s="22"/>
      <c r="AS63" s="22"/>
    </row>
    <row r="64" spans="1:45" x14ac:dyDescent="0.3">
      <c r="A64" s="22"/>
      <c r="B64" s="71"/>
      <c r="C64" s="24"/>
      <c r="D64" s="31"/>
      <c r="E64" s="24"/>
      <c r="F64" s="24"/>
      <c r="G64" s="24"/>
      <c r="H64" s="31"/>
      <c r="I64" s="24"/>
      <c r="J64" s="24"/>
      <c r="K64" s="24"/>
      <c r="L64" s="31"/>
      <c r="M64" s="78"/>
      <c r="N64" s="78"/>
      <c r="O64" s="24"/>
      <c r="P64" s="24"/>
      <c r="Q64" s="24"/>
      <c r="R64" s="71"/>
      <c r="S64" s="71"/>
      <c r="T64" s="71"/>
      <c r="U64" s="71"/>
      <c r="V64" s="71"/>
      <c r="W64" s="71"/>
      <c r="X64" s="71"/>
      <c r="Y64" s="71"/>
      <c r="Z64" s="71"/>
      <c r="AA64" s="71"/>
      <c r="AB64" s="71"/>
      <c r="AC64" s="22"/>
      <c r="AD64" s="22"/>
      <c r="AE64" s="22"/>
      <c r="AF64" s="22"/>
      <c r="AG64" s="22"/>
      <c r="AH64" s="22"/>
      <c r="AI64" s="22"/>
      <c r="AJ64" s="22"/>
      <c r="AK64" s="22"/>
      <c r="AL64" s="22"/>
      <c r="AM64" s="22"/>
      <c r="AN64" s="22"/>
      <c r="AO64" s="22"/>
      <c r="AP64" s="22"/>
      <c r="AQ64" s="22"/>
      <c r="AR64" s="22"/>
      <c r="AS64" s="22"/>
    </row>
    <row r="65" spans="1:45" x14ac:dyDescent="0.3">
      <c r="A65" s="22"/>
      <c r="B65" s="71"/>
      <c r="C65" s="24"/>
      <c r="D65" s="31"/>
      <c r="E65" s="24"/>
      <c r="F65" s="24"/>
      <c r="G65" s="24"/>
      <c r="H65" s="31"/>
      <c r="I65" s="24"/>
      <c r="J65" s="24"/>
      <c r="K65" s="24"/>
      <c r="L65" s="31"/>
      <c r="M65" s="78"/>
      <c r="N65" s="78"/>
      <c r="O65" s="24"/>
      <c r="P65" s="24"/>
      <c r="Q65" s="24"/>
      <c r="R65" s="71"/>
      <c r="S65" s="71"/>
      <c r="T65" s="71"/>
      <c r="U65" s="71"/>
      <c r="V65" s="71"/>
      <c r="W65" s="71"/>
      <c r="X65" s="71"/>
      <c r="Y65" s="71"/>
      <c r="Z65" s="71"/>
      <c r="AA65" s="71"/>
      <c r="AB65" s="71"/>
      <c r="AC65" s="22"/>
      <c r="AD65" s="22"/>
      <c r="AE65" s="22"/>
      <c r="AF65" s="22"/>
      <c r="AG65" s="22"/>
      <c r="AH65" s="22"/>
      <c r="AI65" s="22"/>
      <c r="AJ65" s="22"/>
      <c r="AK65" s="22"/>
      <c r="AL65" s="22"/>
      <c r="AM65" s="22"/>
      <c r="AN65" s="22"/>
      <c r="AO65" s="22"/>
      <c r="AP65" s="22"/>
      <c r="AQ65" s="22"/>
      <c r="AR65" s="22"/>
      <c r="AS65" s="22"/>
    </row>
    <row r="66" spans="1:45" x14ac:dyDescent="0.3">
      <c r="A66" s="22"/>
      <c r="B66" s="71"/>
      <c r="C66" s="24"/>
      <c r="D66" s="31"/>
      <c r="E66" s="24"/>
      <c r="F66" s="24"/>
      <c r="G66" s="24"/>
      <c r="H66" s="31"/>
      <c r="I66" s="24"/>
      <c r="J66" s="24"/>
      <c r="K66" s="24"/>
      <c r="L66" s="31"/>
      <c r="M66" s="78"/>
      <c r="N66" s="78"/>
      <c r="O66" s="24"/>
      <c r="P66" s="24"/>
      <c r="Q66" s="24"/>
      <c r="R66" s="71"/>
      <c r="S66" s="71"/>
      <c r="T66" s="71"/>
      <c r="U66" s="71"/>
      <c r="V66" s="71"/>
      <c r="W66" s="71"/>
      <c r="X66" s="71"/>
      <c r="Y66" s="71"/>
      <c r="Z66" s="71"/>
      <c r="AA66" s="71"/>
      <c r="AB66" s="71"/>
      <c r="AC66" s="22"/>
      <c r="AD66" s="22"/>
      <c r="AE66" s="22"/>
      <c r="AF66" s="22"/>
      <c r="AG66" s="22"/>
      <c r="AH66" s="22"/>
      <c r="AI66" s="22"/>
      <c r="AJ66" s="22"/>
      <c r="AK66" s="22"/>
      <c r="AL66" s="22"/>
      <c r="AM66" s="22"/>
      <c r="AN66" s="22"/>
      <c r="AO66" s="22"/>
      <c r="AP66" s="22"/>
      <c r="AQ66" s="22"/>
      <c r="AR66" s="22"/>
      <c r="AS66" s="22"/>
    </row>
    <row r="67" spans="1:45" x14ac:dyDescent="0.3">
      <c r="A67" s="22"/>
      <c r="B67" s="71"/>
      <c r="C67" s="24"/>
      <c r="D67" s="31"/>
      <c r="E67" s="24"/>
      <c r="F67" s="24"/>
      <c r="G67" s="24"/>
      <c r="H67" s="31"/>
      <c r="I67" s="24"/>
      <c r="J67" s="24"/>
      <c r="K67" s="24"/>
      <c r="L67" s="31"/>
      <c r="M67" s="78"/>
      <c r="N67" s="78"/>
      <c r="O67" s="24"/>
      <c r="P67" s="24"/>
      <c r="Q67" s="24"/>
      <c r="R67" s="71"/>
      <c r="S67" s="71"/>
      <c r="T67" s="71"/>
      <c r="U67" s="71"/>
      <c r="V67" s="71"/>
      <c r="W67" s="71"/>
      <c r="X67" s="71"/>
      <c r="Y67" s="71"/>
      <c r="Z67" s="71"/>
      <c r="AA67" s="71"/>
      <c r="AB67" s="71"/>
      <c r="AC67" s="22"/>
      <c r="AD67" s="22"/>
      <c r="AE67" s="22"/>
      <c r="AF67" s="22"/>
      <c r="AG67" s="22"/>
      <c r="AH67" s="22"/>
      <c r="AI67" s="22"/>
      <c r="AJ67" s="22"/>
      <c r="AK67" s="22"/>
      <c r="AL67" s="22"/>
      <c r="AM67" s="22"/>
      <c r="AN67" s="22"/>
      <c r="AO67" s="22"/>
      <c r="AP67" s="22"/>
      <c r="AQ67" s="22"/>
      <c r="AR67" s="22"/>
      <c r="AS67" s="22"/>
    </row>
    <row r="68" spans="1:45" x14ac:dyDescent="0.3">
      <c r="A68" s="22"/>
      <c r="B68" s="71"/>
      <c r="C68" s="24"/>
      <c r="D68" s="31"/>
      <c r="E68" s="24"/>
      <c r="F68" s="24"/>
      <c r="G68" s="24"/>
      <c r="H68" s="31"/>
      <c r="I68" s="24"/>
      <c r="J68" s="24"/>
      <c r="K68" s="24"/>
      <c r="L68" s="31"/>
      <c r="M68" s="78"/>
      <c r="N68" s="78"/>
      <c r="O68" s="24"/>
      <c r="P68" s="24"/>
      <c r="Q68" s="24"/>
      <c r="R68" s="71"/>
      <c r="S68" s="71"/>
      <c r="T68" s="71"/>
      <c r="U68" s="71"/>
      <c r="V68" s="71"/>
      <c r="W68" s="71"/>
      <c r="X68" s="71"/>
      <c r="Y68" s="71"/>
      <c r="Z68" s="71"/>
      <c r="AA68" s="71"/>
      <c r="AB68" s="71"/>
      <c r="AC68" s="22"/>
      <c r="AD68" s="22"/>
      <c r="AE68" s="22"/>
      <c r="AF68" s="22"/>
      <c r="AG68" s="22"/>
      <c r="AH68" s="22"/>
      <c r="AI68" s="22"/>
      <c r="AJ68" s="22"/>
      <c r="AK68" s="22"/>
      <c r="AL68" s="22"/>
      <c r="AM68" s="22"/>
      <c r="AN68" s="22"/>
      <c r="AO68" s="22"/>
      <c r="AP68" s="22"/>
      <c r="AQ68" s="22"/>
      <c r="AR68" s="22"/>
      <c r="AS68" s="22"/>
    </row>
    <row r="69" spans="1:45" x14ac:dyDescent="0.3">
      <c r="A69" s="22"/>
      <c r="B69" s="71"/>
      <c r="C69" s="22"/>
      <c r="D69" s="23"/>
      <c r="E69" s="22"/>
      <c r="F69" s="22"/>
      <c r="G69" s="22"/>
      <c r="H69" s="23"/>
      <c r="I69" s="22"/>
      <c r="J69" s="22"/>
      <c r="K69" s="22"/>
      <c r="L69" s="23"/>
      <c r="M69" s="71"/>
      <c r="N69" s="71"/>
      <c r="O69" s="22"/>
      <c r="P69" s="22"/>
      <c r="Q69" s="22"/>
      <c r="R69" s="71"/>
      <c r="S69" s="71"/>
      <c r="T69" s="71"/>
      <c r="U69" s="71"/>
      <c r="V69" s="71"/>
      <c r="W69" s="71"/>
      <c r="X69" s="71"/>
      <c r="Y69" s="71"/>
      <c r="Z69" s="71"/>
      <c r="AA69" s="71"/>
      <c r="AB69" s="71"/>
      <c r="AC69" s="22"/>
      <c r="AD69" s="22"/>
      <c r="AE69" s="22"/>
      <c r="AF69" s="22"/>
      <c r="AG69" s="22"/>
      <c r="AH69" s="22"/>
      <c r="AI69" s="22"/>
      <c r="AJ69" s="22"/>
      <c r="AK69" s="22"/>
      <c r="AL69" s="22"/>
      <c r="AM69" s="22"/>
      <c r="AN69" s="22"/>
      <c r="AO69" s="22"/>
      <c r="AP69" s="22"/>
      <c r="AQ69" s="22"/>
      <c r="AR69" s="22"/>
      <c r="AS69" s="22"/>
    </row>
    <row r="70" spans="1:45" x14ac:dyDescent="0.3">
      <c r="A70" s="22"/>
      <c r="B70" s="71"/>
      <c r="C70" s="22"/>
      <c r="D70" s="23"/>
      <c r="E70" s="22"/>
      <c r="F70" s="22"/>
      <c r="G70" s="22"/>
      <c r="H70" s="23"/>
      <c r="I70" s="22"/>
      <c r="J70" s="22"/>
      <c r="K70" s="22"/>
      <c r="L70" s="23"/>
      <c r="M70" s="71"/>
      <c r="N70" s="71"/>
      <c r="O70" s="22"/>
      <c r="P70" s="22"/>
      <c r="Q70" s="22"/>
      <c r="R70" s="71"/>
      <c r="S70" s="71"/>
      <c r="T70" s="71"/>
      <c r="U70" s="71"/>
      <c r="V70" s="71"/>
      <c r="W70" s="71"/>
      <c r="X70" s="71"/>
      <c r="Y70" s="71"/>
      <c r="Z70" s="71"/>
      <c r="AA70" s="71"/>
      <c r="AB70" s="71"/>
      <c r="AC70" s="22"/>
      <c r="AD70" s="22"/>
      <c r="AE70" s="22"/>
      <c r="AF70" s="22"/>
      <c r="AG70" s="22"/>
      <c r="AH70" s="22"/>
      <c r="AI70" s="22"/>
      <c r="AJ70" s="22"/>
      <c r="AK70" s="22"/>
      <c r="AL70" s="22"/>
      <c r="AM70" s="22"/>
      <c r="AN70" s="22"/>
      <c r="AO70" s="22"/>
      <c r="AP70" s="22"/>
      <c r="AQ70" s="22"/>
      <c r="AR70" s="22"/>
      <c r="AS70" s="22"/>
    </row>
    <row r="71" spans="1:45" x14ac:dyDescent="0.3">
      <c r="A71" s="22"/>
      <c r="B71" s="71"/>
      <c r="C71" s="22"/>
      <c r="D71" s="23"/>
      <c r="E71" s="22"/>
      <c r="F71" s="22"/>
      <c r="G71" s="22"/>
      <c r="H71" s="23"/>
      <c r="I71" s="22"/>
      <c r="J71" s="22"/>
      <c r="K71" s="22"/>
      <c r="L71" s="23"/>
      <c r="M71" s="71"/>
      <c r="N71" s="71"/>
      <c r="O71" s="22"/>
      <c r="P71" s="22"/>
      <c r="Q71" s="22"/>
      <c r="R71" s="71"/>
      <c r="S71" s="71"/>
      <c r="T71" s="71"/>
      <c r="U71" s="71"/>
      <c r="V71" s="71"/>
      <c r="W71" s="71"/>
      <c r="X71" s="71"/>
      <c r="Y71" s="71"/>
      <c r="Z71" s="71"/>
      <c r="AA71" s="71"/>
      <c r="AB71" s="71"/>
      <c r="AC71" s="22"/>
      <c r="AD71" s="22"/>
      <c r="AE71" s="22"/>
      <c r="AF71" s="22"/>
      <c r="AG71" s="22"/>
      <c r="AH71" s="22"/>
      <c r="AI71" s="22"/>
      <c r="AJ71" s="22"/>
      <c r="AK71" s="22"/>
      <c r="AL71" s="22"/>
      <c r="AM71" s="22"/>
      <c r="AN71" s="22"/>
      <c r="AO71" s="22"/>
      <c r="AP71" s="22"/>
      <c r="AQ71" s="22"/>
      <c r="AR71" s="22"/>
      <c r="AS71" s="22"/>
    </row>
    <row r="72" spans="1:45" x14ac:dyDescent="0.3">
      <c r="A72" s="22"/>
      <c r="B72" s="71"/>
      <c r="C72" s="22"/>
      <c r="D72" s="23"/>
      <c r="E72" s="22"/>
      <c r="F72" s="22"/>
      <c r="G72" s="22"/>
      <c r="H72" s="23"/>
      <c r="I72" s="22"/>
      <c r="J72" s="22"/>
      <c r="K72" s="22"/>
      <c r="L72" s="23"/>
      <c r="M72" s="71"/>
      <c r="N72" s="71"/>
      <c r="O72" s="22"/>
      <c r="P72" s="22"/>
      <c r="Q72" s="22"/>
      <c r="R72" s="71"/>
      <c r="S72" s="71"/>
      <c r="T72" s="71"/>
      <c r="U72" s="71"/>
      <c r="V72" s="71"/>
      <c r="W72" s="71"/>
      <c r="X72" s="71"/>
      <c r="Y72" s="71"/>
      <c r="Z72" s="71"/>
      <c r="AA72" s="71"/>
      <c r="AB72" s="71"/>
      <c r="AC72" s="22"/>
      <c r="AD72" s="22"/>
      <c r="AE72" s="22"/>
      <c r="AF72" s="22"/>
      <c r="AG72" s="22"/>
      <c r="AH72" s="22"/>
      <c r="AI72" s="22"/>
      <c r="AJ72" s="22"/>
      <c r="AK72" s="22"/>
      <c r="AL72" s="22"/>
      <c r="AM72" s="22"/>
      <c r="AN72" s="22"/>
      <c r="AO72" s="22"/>
      <c r="AP72" s="22"/>
      <c r="AQ72" s="22"/>
      <c r="AR72" s="22"/>
      <c r="AS72" s="22"/>
    </row>
    <row r="73" spans="1:45" x14ac:dyDescent="0.3">
      <c r="A73" s="22"/>
      <c r="B73" s="71"/>
      <c r="C73" s="22"/>
      <c r="D73" s="23"/>
      <c r="E73" s="22"/>
      <c r="F73" s="22"/>
      <c r="G73" s="22"/>
      <c r="H73" s="23"/>
      <c r="I73" s="22"/>
      <c r="J73" s="22"/>
      <c r="K73" s="22"/>
      <c r="L73" s="23"/>
      <c r="M73" s="71"/>
      <c r="N73" s="71"/>
      <c r="O73" s="22"/>
      <c r="P73" s="22"/>
      <c r="Q73" s="22"/>
      <c r="R73" s="71"/>
      <c r="S73" s="71"/>
      <c r="T73" s="71"/>
      <c r="U73" s="71"/>
      <c r="V73" s="71"/>
      <c r="W73" s="71"/>
      <c r="X73" s="71"/>
      <c r="Y73" s="71"/>
      <c r="Z73" s="71"/>
      <c r="AA73" s="71"/>
      <c r="AB73" s="71"/>
      <c r="AC73" s="22"/>
      <c r="AD73" s="22"/>
      <c r="AE73" s="22"/>
      <c r="AF73" s="22"/>
      <c r="AG73" s="22"/>
      <c r="AH73" s="22"/>
      <c r="AI73" s="22"/>
      <c r="AJ73" s="22"/>
      <c r="AK73" s="22"/>
      <c r="AL73" s="22"/>
      <c r="AM73" s="22"/>
      <c r="AN73" s="22"/>
      <c r="AO73" s="22"/>
      <c r="AP73" s="22"/>
      <c r="AQ73" s="22"/>
      <c r="AR73" s="22"/>
      <c r="AS73" s="22"/>
    </row>
    <row r="74" spans="1:45" x14ac:dyDescent="0.3">
      <c r="A74" s="22"/>
      <c r="B74" s="71"/>
      <c r="C74" s="22"/>
      <c r="D74" s="23"/>
      <c r="E74" s="22"/>
      <c r="F74" s="22"/>
      <c r="G74" s="22"/>
      <c r="H74" s="23"/>
      <c r="I74" s="22"/>
      <c r="J74" s="22"/>
      <c r="K74" s="22"/>
      <c r="L74" s="23"/>
      <c r="M74" s="71"/>
      <c r="N74" s="71"/>
      <c r="O74" s="22"/>
      <c r="P74" s="22"/>
      <c r="Q74" s="22"/>
      <c r="R74" s="71"/>
      <c r="S74" s="71"/>
      <c r="T74" s="71"/>
      <c r="U74" s="71"/>
      <c r="V74" s="71"/>
      <c r="W74" s="71"/>
      <c r="X74" s="71"/>
      <c r="Y74" s="71"/>
      <c r="Z74" s="71"/>
      <c r="AA74" s="71"/>
      <c r="AB74" s="71"/>
      <c r="AC74" s="22"/>
      <c r="AD74" s="22"/>
      <c r="AE74" s="22"/>
      <c r="AF74" s="22"/>
      <c r="AG74" s="22"/>
      <c r="AH74" s="22"/>
      <c r="AI74" s="22"/>
      <c r="AJ74" s="22"/>
      <c r="AK74" s="22"/>
      <c r="AL74" s="22"/>
      <c r="AM74" s="22"/>
      <c r="AN74" s="22"/>
      <c r="AO74" s="22"/>
      <c r="AP74" s="22"/>
      <c r="AQ74" s="22"/>
      <c r="AR74" s="22"/>
      <c r="AS74" s="22"/>
    </row>
    <row r="75" spans="1:45" x14ac:dyDescent="0.3">
      <c r="A75" s="22"/>
      <c r="B75" s="71"/>
      <c r="C75" s="22"/>
      <c r="D75" s="23"/>
      <c r="E75" s="22"/>
      <c r="F75" s="22"/>
      <c r="G75" s="22"/>
      <c r="H75" s="23"/>
      <c r="I75" s="22"/>
      <c r="J75" s="22"/>
      <c r="K75" s="22"/>
      <c r="L75" s="23"/>
      <c r="M75" s="71"/>
      <c r="N75" s="71"/>
      <c r="O75" s="22"/>
      <c r="P75" s="22"/>
      <c r="Q75" s="22"/>
      <c r="R75" s="71"/>
      <c r="S75" s="71"/>
      <c r="T75" s="71"/>
      <c r="U75" s="71"/>
      <c r="V75" s="71"/>
      <c r="W75" s="71"/>
      <c r="X75" s="71"/>
      <c r="Y75" s="71"/>
      <c r="Z75" s="71"/>
      <c r="AA75" s="71"/>
      <c r="AB75" s="71"/>
      <c r="AC75" s="22"/>
      <c r="AD75" s="22"/>
      <c r="AE75" s="22"/>
      <c r="AF75" s="22"/>
      <c r="AG75" s="22"/>
      <c r="AH75" s="22"/>
      <c r="AI75" s="22"/>
      <c r="AJ75" s="22"/>
      <c r="AK75" s="22"/>
      <c r="AL75" s="22"/>
      <c r="AM75" s="22"/>
      <c r="AN75" s="22"/>
      <c r="AO75" s="22"/>
      <c r="AP75" s="22"/>
      <c r="AQ75" s="22"/>
      <c r="AR75" s="22"/>
      <c r="AS75" s="22"/>
    </row>
    <row r="76" spans="1:45" x14ac:dyDescent="0.3">
      <c r="A76" s="22"/>
      <c r="B76" s="71"/>
      <c r="C76" s="22"/>
      <c r="D76" s="23"/>
      <c r="E76" s="22"/>
      <c r="F76" s="22"/>
      <c r="G76" s="22"/>
      <c r="H76" s="23"/>
      <c r="I76" s="22"/>
      <c r="J76" s="22"/>
      <c r="K76" s="22"/>
      <c r="L76" s="23"/>
      <c r="M76" s="71"/>
      <c r="N76" s="71"/>
      <c r="O76" s="22"/>
      <c r="P76" s="22"/>
      <c r="Q76" s="22"/>
      <c r="R76" s="71"/>
      <c r="S76" s="71"/>
      <c r="T76" s="71"/>
      <c r="U76" s="71"/>
      <c r="V76" s="71"/>
      <c r="W76" s="71"/>
      <c r="X76" s="71"/>
      <c r="Y76" s="71"/>
      <c r="Z76" s="71"/>
      <c r="AA76" s="71"/>
      <c r="AB76" s="71"/>
      <c r="AC76" s="22"/>
      <c r="AD76" s="22"/>
      <c r="AE76" s="22"/>
      <c r="AF76" s="22"/>
      <c r="AG76" s="22"/>
      <c r="AH76" s="22"/>
      <c r="AI76" s="22"/>
      <c r="AJ76" s="22"/>
      <c r="AK76" s="22"/>
      <c r="AL76" s="22"/>
      <c r="AM76" s="22"/>
      <c r="AN76" s="22"/>
      <c r="AO76" s="22"/>
      <c r="AP76" s="22"/>
      <c r="AQ76" s="22"/>
      <c r="AR76" s="22"/>
      <c r="AS76" s="22"/>
    </row>
    <row r="77" spans="1:45" x14ac:dyDescent="0.3">
      <c r="A77" s="22"/>
      <c r="B77" s="71"/>
      <c r="C77" s="22"/>
      <c r="D77" s="23"/>
      <c r="E77" s="22"/>
      <c r="F77" s="22"/>
      <c r="G77" s="22"/>
      <c r="H77" s="23"/>
      <c r="I77" s="22"/>
      <c r="J77" s="22"/>
      <c r="K77" s="22"/>
      <c r="L77" s="23"/>
      <c r="M77" s="71"/>
      <c r="N77" s="71"/>
      <c r="O77" s="22"/>
      <c r="P77" s="22"/>
      <c r="Q77" s="22"/>
      <c r="R77" s="71"/>
      <c r="S77" s="71"/>
      <c r="T77" s="71"/>
      <c r="U77" s="71"/>
      <c r="V77" s="71"/>
      <c r="W77" s="71"/>
      <c r="X77" s="71"/>
      <c r="Y77" s="71"/>
      <c r="Z77" s="71"/>
      <c r="AA77" s="71"/>
      <c r="AB77" s="71"/>
      <c r="AC77" s="22"/>
      <c r="AD77" s="22"/>
      <c r="AE77" s="22"/>
      <c r="AF77" s="22"/>
      <c r="AG77" s="22"/>
      <c r="AH77" s="22"/>
      <c r="AI77" s="22"/>
      <c r="AJ77" s="22"/>
      <c r="AK77" s="22"/>
      <c r="AL77" s="22"/>
      <c r="AM77" s="22"/>
      <c r="AN77" s="22"/>
      <c r="AO77" s="22"/>
      <c r="AP77" s="22"/>
      <c r="AQ77" s="22"/>
      <c r="AR77" s="22"/>
      <c r="AS77" s="22"/>
    </row>
    <row r="78" spans="1:45" x14ac:dyDescent="0.3">
      <c r="A78" s="22"/>
      <c r="B78" s="71"/>
      <c r="C78" s="22"/>
      <c r="D78" s="23"/>
      <c r="E78" s="22"/>
      <c r="F78" s="22"/>
      <c r="G78" s="22"/>
      <c r="H78" s="23"/>
      <c r="I78" s="22"/>
      <c r="J78" s="22"/>
      <c r="K78" s="22"/>
      <c r="L78" s="23"/>
      <c r="M78" s="71"/>
      <c r="N78" s="71"/>
      <c r="O78" s="22"/>
      <c r="P78" s="22"/>
      <c r="Q78" s="22"/>
      <c r="R78" s="71"/>
      <c r="S78" s="71"/>
      <c r="T78" s="71"/>
      <c r="U78" s="71"/>
      <c r="V78" s="71"/>
      <c r="W78" s="71"/>
      <c r="X78" s="71"/>
      <c r="Y78" s="71"/>
      <c r="Z78" s="71"/>
      <c r="AA78" s="71"/>
      <c r="AB78" s="71"/>
      <c r="AC78" s="22"/>
      <c r="AD78" s="22"/>
      <c r="AE78" s="22"/>
      <c r="AF78" s="22"/>
      <c r="AG78" s="22"/>
      <c r="AH78" s="22"/>
      <c r="AI78" s="22"/>
      <c r="AJ78" s="22"/>
      <c r="AK78" s="22"/>
      <c r="AL78" s="22"/>
      <c r="AM78" s="22"/>
      <c r="AN78" s="22"/>
      <c r="AO78" s="22"/>
      <c r="AP78" s="22"/>
      <c r="AQ78" s="22"/>
      <c r="AR78" s="22"/>
      <c r="AS78" s="22"/>
    </row>
    <row r="79" spans="1:45" x14ac:dyDescent="0.3">
      <c r="A79" s="22"/>
      <c r="B79" s="71"/>
      <c r="C79" s="22"/>
      <c r="D79" s="23"/>
      <c r="E79" s="22"/>
      <c r="F79" s="22"/>
      <c r="G79" s="22"/>
      <c r="H79" s="23"/>
      <c r="I79" s="22"/>
      <c r="J79" s="22"/>
      <c r="K79" s="22"/>
      <c r="L79" s="23"/>
      <c r="M79" s="71"/>
      <c r="N79" s="71"/>
      <c r="O79" s="22"/>
      <c r="P79" s="22"/>
      <c r="Q79" s="22"/>
      <c r="R79" s="71"/>
      <c r="S79" s="71"/>
      <c r="T79" s="71"/>
      <c r="U79" s="71"/>
      <c r="V79" s="71"/>
      <c r="W79" s="71"/>
      <c r="X79" s="71"/>
      <c r="Y79" s="71"/>
      <c r="Z79" s="71"/>
      <c r="AA79" s="71"/>
      <c r="AB79" s="71"/>
      <c r="AC79" s="22"/>
      <c r="AD79" s="22"/>
      <c r="AE79" s="22"/>
      <c r="AF79" s="22"/>
      <c r="AG79" s="22"/>
      <c r="AH79" s="22"/>
      <c r="AI79" s="22"/>
      <c r="AJ79" s="22"/>
      <c r="AK79" s="22"/>
      <c r="AL79" s="22"/>
      <c r="AM79" s="22"/>
      <c r="AN79" s="22"/>
      <c r="AO79" s="22"/>
      <c r="AP79" s="22"/>
      <c r="AQ79" s="22"/>
      <c r="AR79" s="22"/>
      <c r="AS79" s="22"/>
    </row>
    <row r="80" spans="1:45" x14ac:dyDescent="0.3">
      <c r="A80" s="22"/>
      <c r="B80" s="71"/>
      <c r="C80" s="22"/>
      <c r="D80" s="23"/>
      <c r="E80" s="22"/>
      <c r="F80" s="22"/>
      <c r="G80" s="22"/>
      <c r="H80" s="23"/>
      <c r="I80" s="22"/>
      <c r="J80" s="22"/>
      <c r="K80" s="22"/>
      <c r="L80" s="23"/>
      <c r="M80" s="71"/>
      <c r="N80" s="71"/>
      <c r="O80" s="22"/>
      <c r="P80" s="22"/>
      <c r="Q80" s="22"/>
      <c r="R80" s="71"/>
      <c r="S80" s="71"/>
      <c r="T80" s="71"/>
      <c r="U80" s="71"/>
      <c r="V80" s="71"/>
      <c r="W80" s="71"/>
      <c r="X80" s="71"/>
      <c r="Y80" s="71"/>
      <c r="Z80" s="71"/>
      <c r="AA80" s="71"/>
      <c r="AB80" s="71"/>
      <c r="AC80" s="22"/>
      <c r="AD80" s="22"/>
      <c r="AE80" s="22"/>
      <c r="AF80" s="22"/>
      <c r="AG80" s="22"/>
      <c r="AH80" s="22"/>
      <c r="AI80" s="22"/>
      <c r="AJ80" s="22"/>
      <c r="AK80" s="22"/>
      <c r="AL80" s="22"/>
      <c r="AM80" s="22"/>
      <c r="AN80" s="22"/>
      <c r="AO80" s="22"/>
      <c r="AP80" s="22"/>
      <c r="AQ80" s="22"/>
      <c r="AR80" s="22"/>
      <c r="AS80" s="22"/>
    </row>
    <row r="81" spans="1:45" x14ac:dyDescent="0.3">
      <c r="A81" s="22"/>
      <c r="B81" s="71"/>
      <c r="C81" s="22"/>
      <c r="D81" s="23"/>
      <c r="E81" s="22"/>
      <c r="F81" s="22"/>
      <c r="G81" s="22"/>
      <c r="H81" s="23"/>
      <c r="I81" s="22"/>
      <c r="J81" s="22"/>
      <c r="K81" s="22"/>
      <c r="L81" s="23"/>
      <c r="M81" s="71"/>
      <c r="N81" s="71"/>
      <c r="O81" s="22"/>
      <c r="P81" s="22"/>
      <c r="Q81" s="22"/>
      <c r="R81" s="71"/>
      <c r="S81" s="71"/>
      <c r="T81" s="71"/>
      <c r="U81" s="71"/>
      <c r="V81" s="71"/>
      <c r="W81" s="71"/>
      <c r="X81" s="71"/>
      <c r="Y81" s="71"/>
      <c r="Z81" s="71"/>
      <c r="AA81" s="71"/>
      <c r="AB81" s="71"/>
      <c r="AC81" s="22"/>
      <c r="AD81" s="22"/>
      <c r="AE81" s="22"/>
      <c r="AF81" s="22"/>
      <c r="AG81" s="22"/>
      <c r="AH81" s="22"/>
      <c r="AI81" s="22"/>
      <c r="AJ81" s="22"/>
      <c r="AK81" s="22"/>
      <c r="AL81" s="22"/>
      <c r="AM81" s="22"/>
      <c r="AN81" s="22"/>
      <c r="AO81" s="22"/>
      <c r="AP81" s="22"/>
      <c r="AQ81" s="22"/>
      <c r="AR81" s="22"/>
      <c r="AS81" s="22"/>
    </row>
    <row r="82" spans="1:45" x14ac:dyDescent="0.3">
      <c r="A82" s="22"/>
      <c r="B82" s="71"/>
      <c r="C82" s="22"/>
      <c r="D82" s="23"/>
      <c r="E82" s="22"/>
      <c r="F82" s="22"/>
      <c r="G82" s="22"/>
      <c r="H82" s="23"/>
      <c r="I82" s="22"/>
      <c r="J82" s="22"/>
      <c r="K82" s="22"/>
      <c r="L82" s="23"/>
      <c r="M82" s="71"/>
      <c r="N82" s="71"/>
      <c r="O82" s="22"/>
      <c r="P82" s="22"/>
      <c r="Q82" s="22"/>
      <c r="R82" s="71"/>
      <c r="S82" s="71"/>
      <c r="T82" s="71"/>
      <c r="U82" s="71"/>
      <c r="V82" s="71"/>
      <c r="W82" s="71"/>
      <c r="X82" s="71"/>
      <c r="Y82" s="71"/>
      <c r="Z82" s="71"/>
      <c r="AA82" s="71"/>
      <c r="AB82" s="71"/>
      <c r="AC82" s="22"/>
      <c r="AD82" s="22"/>
      <c r="AE82" s="22"/>
      <c r="AF82" s="22"/>
      <c r="AG82" s="22"/>
      <c r="AH82" s="22"/>
      <c r="AI82" s="22"/>
      <c r="AJ82" s="22"/>
      <c r="AK82" s="22"/>
      <c r="AL82" s="22"/>
      <c r="AM82" s="22"/>
      <c r="AN82" s="22"/>
      <c r="AO82" s="22"/>
      <c r="AP82" s="22"/>
      <c r="AQ82" s="22"/>
      <c r="AR82" s="22"/>
      <c r="AS82" s="22"/>
    </row>
    <row r="83" spans="1:45" x14ac:dyDescent="0.3">
      <c r="A83" s="22"/>
      <c r="B83" s="71"/>
      <c r="C83" s="22"/>
      <c r="D83" s="23"/>
      <c r="E83" s="22"/>
      <c r="F83" s="22"/>
      <c r="G83" s="22"/>
      <c r="H83" s="23"/>
      <c r="I83" s="22"/>
      <c r="J83" s="22"/>
      <c r="K83" s="22"/>
      <c r="L83" s="23"/>
      <c r="M83" s="71"/>
      <c r="N83" s="71"/>
      <c r="O83" s="22"/>
      <c r="P83" s="22"/>
      <c r="Q83" s="22"/>
      <c r="R83" s="71"/>
      <c r="S83" s="71"/>
      <c r="T83" s="71"/>
      <c r="U83" s="71"/>
      <c r="V83" s="71"/>
      <c r="W83" s="71"/>
      <c r="X83" s="71"/>
      <c r="Y83" s="71"/>
      <c r="Z83" s="71"/>
      <c r="AA83" s="71"/>
      <c r="AB83" s="71"/>
      <c r="AC83" s="22"/>
      <c r="AD83" s="22"/>
      <c r="AE83" s="22"/>
      <c r="AF83" s="22"/>
      <c r="AG83" s="22"/>
      <c r="AH83" s="22"/>
      <c r="AI83" s="22"/>
      <c r="AJ83" s="22"/>
      <c r="AK83" s="22"/>
      <c r="AL83" s="22"/>
      <c r="AM83" s="22"/>
      <c r="AN83" s="22"/>
      <c r="AO83" s="22"/>
      <c r="AP83" s="22"/>
      <c r="AQ83" s="22"/>
      <c r="AR83" s="22"/>
      <c r="AS83" s="22"/>
    </row>
    <row r="84" spans="1:45" x14ac:dyDescent="0.3">
      <c r="A84" s="22"/>
      <c r="B84" s="71"/>
      <c r="C84" s="22"/>
      <c r="D84" s="23"/>
      <c r="E84" s="22"/>
      <c r="F84" s="22"/>
      <c r="G84" s="22"/>
      <c r="H84" s="23"/>
      <c r="I84" s="22"/>
      <c r="J84" s="22"/>
      <c r="K84" s="22"/>
      <c r="L84" s="23"/>
      <c r="M84" s="71"/>
      <c r="N84" s="71"/>
      <c r="O84" s="22"/>
      <c r="P84" s="22"/>
      <c r="Q84" s="22"/>
      <c r="R84" s="71"/>
      <c r="S84" s="71"/>
      <c r="T84" s="71"/>
      <c r="U84" s="71"/>
      <c r="V84" s="71"/>
      <c r="W84" s="71"/>
      <c r="X84" s="71"/>
      <c r="Y84" s="71"/>
      <c r="Z84" s="71"/>
      <c r="AA84" s="71"/>
      <c r="AB84" s="71"/>
      <c r="AC84" s="22"/>
      <c r="AD84" s="22"/>
      <c r="AE84" s="22"/>
      <c r="AF84" s="22"/>
      <c r="AG84" s="22"/>
      <c r="AH84" s="22"/>
      <c r="AI84" s="22"/>
      <c r="AJ84" s="22"/>
      <c r="AK84" s="22"/>
      <c r="AL84" s="22"/>
      <c r="AM84" s="22"/>
      <c r="AN84" s="22"/>
      <c r="AO84" s="22"/>
      <c r="AP84" s="22"/>
      <c r="AQ84" s="22"/>
      <c r="AR84" s="22"/>
      <c r="AS84" s="22"/>
    </row>
    <row r="85" spans="1:45" x14ac:dyDescent="0.3">
      <c r="A85" s="22"/>
      <c r="B85" s="71"/>
      <c r="C85" s="22"/>
      <c r="D85" s="23"/>
      <c r="E85" s="22"/>
      <c r="F85" s="22"/>
      <c r="G85" s="22"/>
      <c r="H85" s="23"/>
      <c r="I85" s="22"/>
      <c r="J85" s="22"/>
      <c r="K85" s="22"/>
      <c r="L85" s="23"/>
      <c r="M85" s="71"/>
      <c r="N85" s="71"/>
      <c r="O85" s="22"/>
      <c r="P85" s="22"/>
      <c r="Q85" s="22"/>
      <c r="R85" s="71"/>
      <c r="S85" s="71"/>
      <c r="T85" s="71"/>
      <c r="U85" s="71"/>
      <c r="V85" s="71"/>
      <c r="W85" s="71"/>
      <c r="X85" s="71"/>
      <c r="Y85" s="71"/>
      <c r="Z85" s="71"/>
      <c r="AA85" s="71"/>
      <c r="AB85" s="71"/>
      <c r="AC85" s="22"/>
      <c r="AD85" s="22"/>
      <c r="AE85" s="22"/>
      <c r="AF85" s="22"/>
      <c r="AG85" s="22"/>
      <c r="AH85" s="22"/>
      <c r="AI85" s="22"/>
      <c r="AJ85" s="22"/>
      <c r="AK85" s="22"/>
      <c r="AL85" s="22"/>
      <c r="AM85" s="22"/>
      <c r="AN85" s="22"/>
      <c r="AO85" s="22"/>
      <c r="AP85" s="22"/>
      <c r="AQ85" s="22"/>
      <c r="AR85" s="22"/>
      <c r="AS85" s="22"/>
    </row>
    <row r="86" spans="1:45" x14ac:dyDescent="0.3">
      <c r="A86" s="22"/>
      <c r="B86" s="71"/>
      <c r="C86" s="22"/>
      <c r="D86" s="23"/>
      <c r="E86" s="22"/>
      <c r="F86" s="22"/>
      <c r="G86" s="22"/>
      <c r="H86" s="23"/>
      <c r="I86" s="22"/>
      <c r="J86" s="22"/>
      <c r="K86" s="22"/>
      <c r="L86" s="23"/>
      <c r="M86" s="71"/>
      <c r="N86" s="71"/>
      <c r="O86" s="22"/>
      <c r="P86" s="22"/>
      <c r="Q86" s="22"/>
      <c r="R86" s="71"/>
      <c r="S86" s="71"/>
      <c r="T86" s="71"/>
      <c r="U86" s="71"/>
      <c r="V86" s="71"/>
      <c r="W86" s="71"/>
      <c r="X86" s="71"/>
      <c r="Y86" s="71"/>
      <c r="Z86" s="71"/>
      <c r="AA86" s="71"/>
      <c r="AB86" s="71"/>
      <c r="AC86" s="22"/>
      <c r="AD86" s="22"/>
      <c r="AE86" s="22"/>
      <c r="AF86" s="22"/>
      <c r="AG86" s="22"/>
      <c r="AH86" s="22"/>
      <c r="AI86" s="22"/>
      <c r="AJ86" s="22"/>
      <c r="AK86" s="22"/>
      <c r="AL86" s="22"/>
      <c r="AM86" s="22"/>
      <c r="AN86" s="22"/>
      <c r="AO86" s="22"/>
      <c r="AP86" s="22"/>
      <c r="AQ86" s="22"/>
      <c r="AR86" s="22"/>
      <c r="AS86" s="22"/>
    </row>
    <row r="87" spans="1:45" x14ac:dyDescent="0.3">
      <c r="A87" s="22"/>
      <c r="B87" s="71"/>
      <c r="C87" s="22"/>
      <c r="D87" s="23"/>
      <c r="E87" s="22"/>
      <c r="F87" s="22"/>
      <c r="G87" s="22"/>
      <c r="H87" s="23"/>
      <c r="I87" s="22"/>
      <c r="J87" s="22"/>
      <c r="K87" s="22"/>
      <c r="L87" s="23"/>
      <c r="M87" s="71"/>
      <c r="N87" s="71"/>
      <c r="O87" s="22"/>
      <c r="P87" s="22"/>
      <c r="Q87" s="22"/>
      <c r="R87" s="71"/>
      <c r="S87" s="71"/>
      <c r="T87" s="71"/>
      <c r="U87" s="71"/>
      <c r="V87" s="71"/>
      <c r="W87" s="71"/>
      <c r="X87" s="71"/>
      <c r="Y87" s="71"/>
      <c r="Z87" s="71"/>
      <c r="AA87" s="71"/>
      <c r="AB87" s="71"/>
      <c r="AC87" s="22"/>
      <c r="AD87" s="22"/>
      <c r="AE87" s="22"/>
      <c r="AF87" s="22"/>
      <c r="AG87" s="22"/>
      <c r="AH87" s="22"/>
      <c r="AI87" s="22"/>
      <c r="AJ87" s="22"/>
      <c r="AK87" s="22"/>
      <c r="AL87" s="22"/>
      <c r="AM87" s="22"/>
      <c r="AN87" s="22"/>
      <c r="AO87" s="22"/>
      <c r="AP87" s="22"/>
      <c r="AQ87" s="22"/>
      <c r="AR87" s="22"/>
      <c r="AS87" s="22"/>
    </row>
    <row r="88" spans="1:45" x14ac:dyDescent="0.3">
      <c r="A88" s="22"/>
      <c r="B88" s="71"/>
      <c r="C88" s="22"/>
      <c r="D88" s="23"/>
      <c r="E88" s="22"/>
      <c r="F88" s="22"/>
      <c r="G88" s="22"/>
      <c r="H88" s="23"/>
      <c r="I88" s="22"/>
      <c r="J88" s="22"/>
      <c r="K88" s="22"/>
      <c r="L88" s="23"/>
      <c r="M88" s="71"/>
      <c r="N88" s="71"/>
      <c r="O88" s="22"/>
      <c r="P88" s="22"/>
      <c r="Q88" s="22"/>
      <c r="R88" s="71"/>
      <c r="S88" s="71"/>
      <c r="T88" s="71"/>
      <c r="U88" s="71"/>
      <c r="V88" s="71"/>
      <c r="W88" s="71"/>
      <c r="X88" s="71"/>
      <c r="Y88" s="71"/>
      <c r="Z88" s="71"/>
      <c r="AA88" s="71"/>
      <c r="AB88" s="71"/>
      <c r="AC88" s="22"/>
      <c r="AD88" s="22"/>
      <c r="AE88" s="22"/>
      <c r="AF88" s="22"/>
      <c r="AG88" s="22"/>
      <c r="AH88" s="22"/>
      <c r="AI88" s="22"/>
      <c r="AJ88" s="22"/>
      <c r="AK88" s="22"/>
      <c r="AL88" s="22"/>
      <c r="AM88" s="22"/>
      <c r="AN88" s="22"/>
      <c r="AO88" s="22"/>
      <c r="AP88" s="22"/>
      <c r="AQ88" s="22"/>
      <c r="AR88" s="22"/>
      <c r="AS88" s="22"/>
    </row>
    <row r="89" spans="1:45" x14ac:dyDescent="0.3">
      <c r="A89" s="22"/>
      <c r="B89" s="71"/>
      <c r="C89" s="22"/>
      <c r="D89" s="23"/>
      <c r="E89" s="22"/>
      <c r="F89" s="22"/>
      <c r="G89" s="22"/>
      <c r="H89" s="23"/>
      <c r="I89" s="22"/>
      <c r="J89" s="22"/>
      <c r="K89" s="22"/>
      <c r="L89" s="23"/>
      <c r="M89" s="71"/>
      <c r="N89" s="71"/>
      <c r="O89" s="22"/>
      <c r="P89" s="22"/>
      <c r="Q89" s="22"/>
      <c r="R89" s="71"/>
      <c r="S89" s="71"/>
      <c r="T89" s="71"/>
      <c r="U89" s="71"/>
      <c r="V89" s="71"/>
      <c r="W89" s="71"/>
      <c r="X89" s="71"/>
      <c r="Y89" s="71"/>
      <c r="Z89" s="71"/>
      <c r="AA89" s="71"/>
      <c r="AB89" s="71"/>
      <c r="AC89" s="22"/>
      <c r="AD89" s="22"/>
      <c r="AE89" s="22"/>
      <c r="AF89" s="22"/>
      <c r="AG89" s="22"/>
      <c r="AH89" s="22"/>
      <c r="AI89" s="22"/>
      <c r="AJ89" s="22"/>
      <c r="AK89" s="22"/>
      <c r="AL89" s="22"/>
      <c r="AM89" s="22"/>
      <c r="AN89" s="22"/>
      <c r="AO89" s="22"/>
      <c r="AP89" s="22"/>
      <c r="AQ89" s="22"/>
      <c r="AR89" s="22"/>
      <c r="AS89" s="22"/>
    </row>
    <row r="90" spans="1:45" x14ac:dyDescent="0.3">
      <c r="A90" s="22"/>
      <c r="B90" s="71"/>
      <c r="C90" s="22"/>
      <c r="D90" s="23"/>
      <c r="E90" s="22"/>
      <c r="F90" s="22"/>
      <c r="G90" s="22"/>
      <c r="H90" s="23"/>
      <c r="I90" s="22"/>
      <c r="J90" s="22"/>
      <c r="K90" s="22"/>
      <c r="L90" s="23"/>
      <c r="M90" s="71"/>
      <c r="N90" s="71"/>
      <c r="O90" s="22"/>
      <c r="P90" s="22"/>
      <c r="Q90" s="22"/>
      <c r="R90" s="71"/>
      <c r="S90" s="71"/>
      <c r="T90" s="71"/>
      <c r="U90" s="71"/>
      <c r="V90" s="71"/>
      <c r="W90" s="71"/>
      <c r="X90" s="71"/>
      <c r="Y90" s="71"/>
      <c r="Z90" s="71"/>
      <c r="AA90" s="71"/>
      <c r="AB90" s="71"/>
      <c r="AC90" s="22"/>
      <c r="AD90" s="22"/>
      <c r="AE90" s="22"/>
      <c r="AF90" s="22"/>
      <c r="AG90" s="22"/>
      <c r="AH90" s="22"/>
      <c r="AI90" s="22"/>
      <c r="AJ90" s="22"/>
      <c r="AK90" s="22"/>
      <c r="AL90" s="22"/>
      <c r="AM90" s="22"/>
      <c r="AN90" s="22"/>
      <c r="AO90" s="22"/>
      <c r="AP90" s="22"/>
      <c r="AQ90" s="22"/>
      <c r="AR90" s="22"/>
      <c r="AS90" s="22"/>
    </row>
    <row r="91" spans="1:45" x14ac:dyDescent="0.3">
      <c r="A91" s="22"/>
      <c r="B91" s="71"/>
      <c r="C91" s="22"/>
      <c r="D91" s="23"/>
      <c r="E91" s="22"/>
      <c r="F91" s="22"/>
      <c r="G91" s="22"/>
      <c r="H91" s="23"/>
      <c r="I91" s="22"/>
      <c r="J91" s="22"/>
      <c r="K91" s="22"/>
      <c r="L91" s="23"/>
      <c r="M91" s="71"/>
      <c r="N91" s="71"/>
      <c r="O91" s="22"/>
      <c r="P91" s="22"/>
      <c r="Q91" s="22"/>
      <c r="R91" s="71"/>
      <c r="S91" s="71"/>
      <c r="T91" s="71"/>
      <c r="U91" s="71"/>
      <c r="V91" s="71"/>
      <c r="W91" s="71"/>
      <c r="X91" s="71"/>
      <c r="Y91" s="71"/>
      <c r="Z91" s="71"/>
      <c r="AA91" s="71"/>
      <c r="AB91" s="71"/>
      <c r="AC91" s="22"/>
      <c r="AD91" s="22"/>
      <c r="AE91" s="22"/>
      <c r="AF91" s="22"/>
      <c r="AG91" s="22"/>
      <c r="AH91" s="22"/>
      <c r="AI91" s="22"/>
      <c r="AJ91" s="22"/>
      <c r="AK91" s="22"/>
      <c r="AL91" s="22"/>
      <c r="AM91" s="22"/>
      <c r="AN91" s="22"/>
      <c r="AO91" s="22"/>
      <c r="AP91" s="22"/>
      <c r="AQ91" s="22"/>
      <c r="AR91" s="22"/>
      <c r="AS91" s="22"/>
    </row>
    <row r="92" spans="1:45" x14ac:dyDescent="0.3">
      <c r="A92" s="22"/>
      <c r="B92" s="71"/>
      <c r="C92" s="22"/>
      <c r="D92" s="23"/>
      <c r="E92" s="22"/>
      <c r="F92" s="22"/>
      <c r="G92" s="22"/>
      <c r="H92" s="23"/>
      <c r="I92" s="22"/>
      <c r="J92" s="22"/>
      <c r="K92" s="22"/>
      <c r="L92" s="23"/>
      <c r="M92" s="71"/>
      <c r="N92" s="71"/>
      <c r="O92" s="22"/>
      <c r="P92" s="22"/>
      <c r="Q92" s="22"/>
      <c r="R92" s="71"/>
      <c r="S92" s="71"/>
      <c r="T92" s="71"/>
      <c r="U92" s="71"/>
      <c r="V92" s="71"/>
      <c r="W92" s="71"/>
      <c r="X92" s="71"/>
      <c r="Y92" s="71"/>
      <c r="Z92" s="71"/>
      <c r="AA92" s="71"/>
      <c r="AB92" s="71"/>
      <c r="AC92" s="22"/>
      <c r="AD92" s="22"/>
      <c r="AE92" s="22"/>
      <c r="AF92" s="22"/>
      <c r="AG92" s="22"/>
      <c r="AH92" s="22"/>
      <c r="AI92" s="22"/>
      <c r="AJ92" s="22"/>
      <c r="AK92" s="22"/>
      <c r="AL92" s="22"/>
      <c r="AM92" s="22"/>
      <c r="AN92" s="22"/>
      <c r="AO92" s="22"/>
      <c r="AP92" s="22"/>
      <c r="AQ92" s="22"/>
      <c r="AR92" s="22"/>
      <c r="AS92" s="22"/>
    </row>
    <row r="93" spans="1:45" x14ac:dyDescent="0.3">
      <c r="A93" s="22"/>
      <c r="B93" s="71"/>
      <c r="C93" s="22"/>
      <c r="D93" s="23"/>
      <c r="E93" s="22"/>
      <c r="F93" s="22"/>
      <c r="G93" s="22"/>
      <c r="H93" s="23"/>
      <c r="I93" s="22"/>
      <c r="J93" s="22"/>
      <c r="K93" s="22"/>
      <c r="L93" s="23"/>
      <c r="M93" s="71"/>
      <c r="N93" s="71"/>
      <c r="O93" s="22"/>
      <c r="P93" s="22"/>
      <c r="Q93" s="22"/>
      <c r="R93" s="71"/>
      <c r="S93" s="71"/>
      <c r="T93" s="71"/>
      <c r="U93" s="71"/>
      <c r="V93" s="71"/>
      <c r="W93" s="71"/>
      <c r="X93" s="71"/>
      <c r="Y93" s="71"/>
      <c r="Z93" s="71"/>
      <c r="AA93" s="71"/>
      <c r="AB93" s="71"/>
      <c r="AC93" s="22"/>
      <c r="AD93" s="22"/>
      <c r="AE93" s="22"/>
      <c r="AF93" s="22"/>
      <c r="AG93" s="22"/>
      <c r="AH93" s="22"/>
      <c r="AI93" s="22"/>
      <c r="AJ93" s="22"/>
      <c r="AK93" s="22"/>
      <c r="AL93" s="22"/>
      <c r="AM93" s="22"/>
      <c r="AN93" s="22"/>
      <c r="AO93" s="22"/>
      <c r="AP93" s="22"/>
      <c r="AQ93" s="22"/>
      <c r="AR93" s="22"/>
      <c r="AS93" s="22"/>
    </row>
    <row r="94" spans="1:45" x14ac:dyDescent="0.3">
      <c r="A94" s="22"/>
      <c r="B94" s="71"/>
      <c r="C94" s="22"/>
      <c r="D94" s="23"/>
      <c r="E94" s="22"/>
      <c r="F94" s="22"/>
      <c r="G94" s="22"/>
      <c r="H94" s="23"/>
      <c r="I94" s="22"/>
      <c r="J94" s="22"/>
      <c r="K94" s="22"/>
      <c r="L94" s="23"/>
      <c r="M94" s="71"/>
      <c r="N94" s="71"/>
      <c r="O94" s="22"/>
      <c r="P94" s="22"/>
      <c r="Q94" s="22"/>
      <c r="R94" s="71"/>
      <c r="S94" s="71"/>
      <c r="T94" s="71"/>
      <c r="U94" s="71"/>
      <c r="V94" s="71"/>
      <c r="W94" s="71"/>
      <c r="X94" s="71"/>
      <c r="Y94" s="71"/>
      <c r="Z94" s="71"/>
      <c r="AA94" s="71"/>
      <c r="AB94" s="71"/>
      <c r="AC94" s="22"/>
      <c r="AD94" s="22"/>
      <c r="AE94" s="22"/>
      <c r="AF94" s="22"/>
      <c r="AG94" s="22"/>
      <c r="AH94" s="22"/>
      <c r="AI94" s="22"/>
      <c r="AJ94" s="22"/>
      <c r="AK94" s="22"/>
      <c r="AL94" s="22"/>
      <c r="AM94" s="22"/>
      <c r="AN94" s="22"/>
      <c r="AO94" s="22"/>
      <c r="AP94" s="22"/>
      <c r="AQ94" s="22"/>
      <c r="AR94" s="22"/>
      <c r="AS94" s="22"/>
    </row>
    <row r="95" spans="1:45" x14ac:dyDescent="0.3">
      <c r="A95" s="22"/>
      <c r="B95" s="71"/>
      <c r="C95" s="22"/>
      <c r="D95" s="23"/>
      <c r="E95" s="22"/>
      <c r="F95" s="22"/>
      <c r="G95" s="22"/>
      <c r="H95" s="23"/>
      <c r="I95" s="22"/>
      <c r="J95" s="22"/>
      <c r="K95" s="22"/>
      <c r="L95" s="23"/>
      <c r="M95" s="71"/>
      <c r="N95" s="71"/>
      <c r="O95" s="22"/>
      <c r="P95" s="22"/>
      <c r="Q95" s="22"/>
      <c r="R95" s="71"/>
      <c r="S95" s="71"/>
      <c r="T95" s="71"/>
      <c r="U95" s="71"/>
      <c r="V95" s="71"/>
      <c r="W95" s="71"/>
      <c r="X95" s="71"/>
      <c r="Y95" s="71"/>
      <c r="Z95" s="71"/>
      <c r="AA95" s="71"/>
      <c r="AB95" s="71"/>
      <c r="AC95" s="22"/>
      <c r="AD95" s="22"/>
      <c r="AE95" s="22"/>
      <c r="AF95" s="22"/>
      <c r="AG95" s="22"/>
      <c r="AH95" s="22"/>
      <c r="AI95" s="22"/>
      <c r="AJ95" s="22"/>
      <c r="AK95" s="22"/>
      <c r="AL95" s="22"/>
      <c r="AM95" s="22"/>
      <c r="AN95" s="22"/>
      <c r="AO95" s="22"/>
      <c r="AP95" s="22"/>
      <c r="AQ95" s="22"/>
      <c r="AR95" s="22"/>
      <c r="AS95" s="22"/>
    </row>
    <row r="96" spans="1:45" x14ac:dyDescent="0.3">
      <c r="A96" s="22"/>
      <c r="B96" s="71"/>
      <c r="C96" s="22"/>
      <c r="D96" s="23"/>
      <c r="E96" s="22"/>
      <c r="F96" s="22"/>
      <c r="G96" s="22"/>
      <c r="H96" s="23"/>
      <c r="I96" s="22"/>
      <c r="J96" s="22"/>
      <c r="K96" s="22"/>
      <c r="L96" s="23"/>
      <c r="M96" s="71"/>
      <c r="N96" s="71"/>
      <c r="O96" s="22"/>
      <c r="P96" s="22"/>
      <c r="Q96" s="22"/>
      <c r="R96" s="71"/>
      <c r="S96" s="71"/>
      <c r="T96" s="71"/>
      <c r="U96" s="71"/>
      <c r="V96" s="71"/>
      <c r="W96" s="71"/>
      <c r="X96" s="71"/>
      <c r="Y96" s="71"/>
      <c r="Z96" s="71"/>
      <c r="AA96" s="71"/>
      <c r="AB96" s="71"/>
      <c r="AC96" s="22"/>
      <c r="AD96" s="22"/>
      <c r="AE96" s="22"/>
      <c r="AF96" s="22"/>
      <c r="AG96" s="22"/>
      <c r="AH96" s="22"/>
      <c r="AI96" s="22"/>
      <c r="AJ96" s="22"/>
      <c r="AK96" s="22"/>
      <c r="AL96" s="22"/>
      <c r="AM96" s="22"/>
      <c r="AN96" s="22"/>
      <c r="AO96" s="22"/>
      <c r="AP96" s="22"/>
      <c r="AQ96" s="22"/>
      <c r="AR96" s="22"/>
      <c r="AS96" s="22"/>
    </row>
    <row r="97" spans="1:45" x14ac:dyDescent="0.3">
      <c r="A97" s="22"/>
      <c r="B97" s="71"/>
      <c r="C97" s="22"/>
      <c r="D97" s="23"/>
      <c r="E97" s="22"/>
      <c r="F97" s="22"/>
      <c r="G97" s="22"/>
      <c r="H97" s="23"/>
      <c r="I97" s="22"/>
      <c r="J97" s="22"/>
      <c r="K97" s="22"/>
      <c r="L97" s="23"/>
      <c r="M97" s="71"/>
      <c r="N97" s="71"/>
      <c r="O97" s="22"/>
      <c r="P97" s="22"/>
      <c r="Q97" s="22"/>
      <c r="R97" s="71"/>
      <c r="S97" s="71"/>
      <c r="T97" s="71"/>
      <c r="U97" s="71"/>
      <c r="V97" s="71"/>
      <c r="W97" s="71"/>
      <c r="X97" s="71"/>
      <c r="Y97" s="71"/>
      <c r="Z97" s="71"/>
      <c r="AA97" s="71"/>
      <c r="AB97" s="71"/>
      <c r="AC97" s="22"/>
      <c r="AD97" s="22"/>
      <c r="AE97" s="22"/>
      <c r="AF97" s="22"/>
      <c r="AG97" s="22"/>
      <c r="AH97" s="22"/>
      <c r="AI97" s="22"/>
      <c r="AJ97" s="22"/>
      <c r="AK97" s="22"/>
      <c r="AL97" s="22"/>
      <c r="AM97" s="22"/>
      <c r="AN97" s="22"/>
      <c r="AO97" s="22"/>
      <c r="AP97" s="22"/>
      <c r="AQ97" s="22"/>
      <c r="AR97" s="22"/>
      <c r="AS97" s="22"/>
    </row>
    <row r="98" spans="1:45" x14ac:dyDescent="0.3">
      <c r="A98" s="22"/>
      <c r="B98" s="71"/>
      <c r="C98" s="22"/>
      <c r="D98" s="23"/>
      <c r="E98" s="22"/>
      <c r="F98" s="22"/>
      <c r="G98" s="22"/>
      <c r="H98" s="23"/>
      <c r="I98" s="22"/>
      <c r="J98" s="22"/>
      <c r="K98" s="22"/>
      <c r="L98" s="23"/>
      <c r="M98" s="71"/>
      <c r="N98" s="71"/>
      <c r="O98" s="22"/>
      <c r="P98" s="22"/>
      <c r="Q98" s="22"/>
      <c r="R98" s="71"/>
      <c r="S98" s="71"/>
      <c r="T98" s="71"/>
      <c r="U98" s="71"/>
      <c r="V98" s="71"/>
      <c r="W98" s="71"/>
      <c r="X98" s="71"/>
      <c r="Y98" s="71"/>
      <c r="Z98" s="71"/>
      <c r="AA98" s="71"/>
      <c r="AB98" s="71"/>
      <c r="AC98" s="22"/>
      <c r="AD98" s="22"/>
      <c r="AE98" s="22"/>
      <c r="AF98" s="22"/>
      <c r="AG98" s="22"/>
      <c r="AH98" s="22"/>
      <c r="AI98" s="22"/>
      <c r="AJ98" s="22"/>
      <c r="AK98" s="22"/>
      <c r="AL98" s="22"/>
      <c r="AM98" s="22"/>
      <c r="AN98" s="22"/>
      <c r="AO98" s="22"/>
      <c r="AP98" s="22"/>
      <c r="AQ98" s="22"/>
      <c r="AR98" s="22"/>
      <c r="AS98" s="22"/>
    </row>
    <row r="99" spans="1:45" x14ac:dyDescent="0.3">
      <c r="A99" s="22"/>
      <c r="B99" s="71"/>
      <c r="C99" s="22"/>
      <c r="D99" s="23"/>
      <c r="E99" s="22"/>
      <c r="F99" s="22"/>
      <c r="G99" s="22"/>
      <c r="H99" s="23"/>
      <c r="I99" s="22"/>
      <c r="J99" s="22"/>
      <c r="K99" s="22"/>
      <c r="L99" s="23"/>
      <c r="M99" s="71"/>
      <c r="N99" s="71"/>
      <c r="O99" s="22"/>
      <c r="P99" s="22"/>
      <c r="Q99" s="22"/>
      <c r="R99" s="71"/>
      <c r="S99" s="71"/>
      <c r="T99" s="71"/>
      <c r="U99" s="71"/>
      <c r="V99" s="71"/>
      <c r="W99" s="71"/>
      <c r="X99" s="71"/>
      <c r="Y99" s="71"/>
      <c r="Z99" s="71"/>
      <c r="AA99" s="71"/>
      <c r="AB99" s="71"/>
      <c r="AC99" s="22"/>
      <c r="AD99" s="22"/>
      <c r="AE99" s="22"/>
      <c r="AF99" s="22"/>
      <c r="AG99" s="22"/>
      <c r="AH99" s="22"/>
      <c r="AI99" s="22"/>
      <c r="AJ99" s="22"/>
      <c r="AK99" s="22"/>
      <c r="AL99" s="22"/>
      <c r="AM99" s="22"/>
      <c r="AN99" s="22"/>
      <c r="AO99" s="22"/>
      <c r="AP99" s="22"/>
      <c r="AQ99" s="22"/>
      <c r="AR99" s="22"/>
      <c r="AS99" s="22"/>
    </row>
    <row r="100" spans="1:45" x14ac:dyDescent="0.3">
      <c r="A100" s="22"/>
      <c r="B100" s="71"/>
      <c r="C100" s="22"/>
      <c r="D100" s="23"/>
      <c r="E100" s="22"/>
      <c r="F100" s="22"/>
      <c r="G100" s="22"/>
      <c r="H100" s="23"/>
      <c r="I100" s="22"/>
      <c r="J100" s="22"/>
      <c r="K100" s="22"/>
      <c r="L100" s="23"/>
      <c r="M100" s="71"/>
      <c r="N100" s="71"/>
      <c r="O100" s="22"/>
      <c r="P100" s="22"/>
      <c r="Q100" s="22"/>
      <c r="R100" s="71"/>
      <c r="S100" s="71"/>
      <c r="T100" s="71"/>
      <c r="U100" s="71"/>
      <c r="V100" s="71"/>
      <c r="W100" s="71"/>
      <c r="X100" s="71"/>
      <c r="Y100" s="71"/>
      <c r="Z100" s="71"/>
      <c r="AA100" s="71"/>
      <c r="AB100" s="71"/>
      <c r="AC100" s="22"/>
      <c r="AD100" s="22"/>
      <c r="AE100" s="22"/>
      <c r="AF100" s="22"/>
      <c r="AG100" s="22"/>
      <c r="AH100" s="22"/>
      <c r="AI100" s="22"/>
      <c r="AJ100" s="22"/>
      <c r="AK100" s="22"/>
      <c r="AL100" s="22"/>
      <c r="AM100" s="22"/>
      <c r="AN100" s="22"/>
      <c r="AO100" s="22"/>
      <c r="AP100" s="22"/>
      <c r="AQ100" s="22"/>
      <c r="AR100" s="22"/>
      <c r="AS100" s="22"/>
    </row>
    <row r="101" spans="1:45" x14ac:dyDescent="0.3">
      <c r="A101" s="22"/>
      <c r="B101" s="71"/>
      <c r="C101" s="22"/>
      <c r="D101" s="23"/>
      <c r="E101" s="22"/>
      <c r="F101" s="22"/>
      <c r="G101" s="22"/>
      <c r="H101" s="23"/>
      <c r="I101" s="22"/>
      <c r="J101" s="22"/>
      <c r="K101" s="22"/>
      <c r="L101" s="23"/>
      <c r="M101" s="71"/>
      <c r="N101" s="71"/>
      <c r="O101" s="22"/>
      <c r="P101" s="22"/>
      <c r="Q101" s="22"/>
      <c r="R101" s="71"/>
      <c r="S101" s="71"/>
      <c r="T101" s="71"/>
      <c r="U101" s="71"/>
      <c r="V101" s="71"/>
      <c r="W101" s="71"/>
      <c r="X101" s="71"/>
      <c r="Y101" s="71"/>
      <c r="Z101" s="71"/>
      <c r="AA101" s="71"/>
      <c r="AB101" s="71"/>
      <c r="AC101" s="22"/>
      <c r="AD101" s="22"/>
      <c r="AE101" s="22"/>
      <c r="AF101" s="22"/>
      <c r="AG101" s="22"/>
      <c r="AH101" s="22"/>
      <c r="AI101" s="22"/>
      <c r="AJ101" s="22"/>
      <c r="AK101" s="22"/>
      <c r="AL101" s="22"/>
      <c r="AM101" s="22"/>
      <c r="AN101" s="22"/>
      <c r="AO101" s="22"/>
      <c r="AP101" s="22"/>
      <c r="AQ101" s="22"/>
      <c r="AR101" s="22"/>
      <c r="AS101" s="22"/>
    </row>
    <row r="102" spans="1:45" x14ac:dyDescent="0.3">
      <c r="A102" s="22"/>
      <c r="B102" s="71"/>
      <c r="C102" s="22"/>
      <c r="D102" s="23"/>
      <c r="E102" s="22"/>
      <c r="F102" s="22"/>
      <c r="G102" s="22"/>
      <c r="H102" s="23"/>
      <c r="I102" s="22"/>
      <c r="J102" s="22"/>
      <c r="K102" s="22"/>
      <c r="L102" s="23"/>
      <c r="M102" s="71"/>
      <c r="N102" s="71"/>
      <c r="O102" s="22"/>
      <c r="P102" s="22"/>
      <c r="Q102" s="22"/>
      <c r="R102" s="71"/>
      <c r="S102" s="71"/>
      <c r="T102" s="71"/>
      <c r="U102" s="71"/>
      <c r="V102" s="71"/>
      <c r="W102" s="71"/>
      <c r="X102" s="71"/>
      <c r="Y102" s="71"/>
      <c r="Z102" s="71"/>
      <c r="AA102" s="71"/>
      <c r="AB102" s="71"/>
      <c r="AC102" s="22"/>
      <c r="AD102" s="22"/>
      <c r="AE102" s="22"/>
      <c r="AF102" s="22"/>
      <c r="AG102" s="22"/>
      <c r="AH102" s="22"/>
      <c r="AI102" s="22"/>
      <c r="AJ102" s="22"/>
      <c r="AK102" s="22"/>
      <c r="AL102" s="22"/>
      <c r="AM102" s="22"/>
      <c r="AN102" s="22"/>
      <c r="AO102" s="22"/>
      <c r="AP102" s="22"/>
      <c r="AQ102" s="22"/>
      <c r="AR102" s="22"/>
      <c r="AS102" s="22"/>
    </row>
    <row r="103" spans="1:45" x14ac:dyDescent="0.3">
      <c r="A103" s="22"/>
      <c r="B103" s="71"/>
      <c r="C103" s="22"/>
      <c r="D103" s="23"/>
      <c r="E103" s="22"/>
      <c r="F103" s="22"/>
      <c r="G103" s="22"/>
      <c r="H103" s="23"/>
      <c r="I103" s="22"/>
      <c r="J103" s="22"/>
      <c r="K103" s="22"/>
      <c r="L103" s="23"/>
      <c r="M103" s="71"/>
      <c r="N103" s="71"/>
      <c r="O103" s="22"/>
      <c r="P103" s="22"/>
      <c r="Q103" s="22"/>
      <c r="R103" s="71"/>
      <c r="S103" s="71"/>
      <c r="T103" s="71"/>
      <c r="U103" s="71"/>
      <c r="V103" s="71"/>
      <c r="W103" s="71"/>
      <c r="X103" s="71"/>
      <c r="Y103" s="71"/>
      <c r="Z103" s="71"/>
      <c r="AA103" s="71"/>
      <c r="AB103" s="71"/>
      <c r="AC103" s="22"/>
      <c r="AD103" s="22"/>
      <c r="AE103" s="22"/>
      <c r="AF103" s="22"/>
      <c r="AG103" s="22"/>
      <c r="AH103" s="22"/>
      <c r="AI103" s="22"/>
      <c r="AJ103" s="22"/>
      <c r="AK103" s="22"/>
      <c r="AL103" s="22"/>
      <c r="AM103" s="22"/>
      <c r="AN103" s="22"/>
      <c r="AO103" s="22"/>
      <c r="AP103" s="22"/>
      <c r="AQ103" s="22"/>
      <c r="AR103" s="22"/>
      <c r="AS103" s="22"/>
    </row>
    <row r="104" spans="1:45" x14ac:dyDescent="0.3">
      <c r="A104" s="22"/>
      <c r="B104" s="71"/>
      <c r="C104" s="22"/>
      <c r="D104" s="23"/>
      <c r="E104" s="22"/>
      <c r="F104" s="22"/>
      <c r="G104" s="22"/>
      <c r="H104" s="23"/>
      <c r="I104" s="22"/>
      <c r="J104" s="22"/>
      <c r="K104" s="22"/>
      <c r="L104" s="23"/>
      <c r="M104" s="71"/>
      <c r="N104" s="71"/>
      <c r="O104" s="22"/>
      <c r="P104" s="22"/>
      <c r="Q104" s="22"/>
      <c r="R104" s="71"/>
      <c r="S104" s="71"/>
      <c r="T104" s="71"/>
      <c r="U104" s="71"/>
      <c r="V104" s="71"/>
      <c r="W104" s="71"/>
      <c r="X104" s="71"/>
      <c r="Y104" s="71"/>
      <c r="Z104" s="71"/>
      <c r="AA104" s="71"/>
      <c r="AB104" s="71"/>
      <c r="AC104" s="22"/>
      <c r="AD104" s="22"/>
      <c r="AE104" s="22"/>
      <c r="AF104" s="22"/>
      <c r="AG104" s="22"/>
      <c r="AH104" s="22"/>
      <c r="AI104" s="22"/>
      <c r="AJ104" s="22"/>
      <c r="AK104" s="22"/>
      <c r="AL104" s="22"/>
      <c r="AM104" s="22"/>
      <c r="AN104" s="22"/>
      <c r="AO104" s="22"/>
      <c r="AP104" s="22"/>
      <c r="AQ104" s="22"/>
      <c r="AR104" s="22"/>
      <c r="AS104" s="22"/>
    </row>
    <row r="105" spans="1:45" x14ac:dyDescent="0.3">
      <c r="A105" s="22"/>
      <c r="B105" s="71"/>
      <c r="C105" s="22"/>
      <c r="D105" s="23"/>
      <c r="E105" s="22"/>
      <c r="F105" s="22"/>
      <c r="G105" s="22"/>
      <c r="H105" s="23"/>
      <c r="I105" s="22"/>
      <c r="J105" s="22"/>
      <c r="K105" s="22"/>
      <c r="L105" s="23"/>
      <c r="M105" s="71"/>
      <c r="N105" s="71"/>
      <c r="O105" s="22"/>
      <c r="P105" s="22"/>
      <c r="Q105" s="22"/>
      <c r="R105" s="71"/>
      <c r="S105" s="71"/>
      <c r="T105" s="71"/>
      <c r="U105" s="71"/>
      <c r="V105" s="71"/>
      <c r="W105" s="71"/>
      <c r="X105" s="71"/>
      <c r="Y105" s="71"/>
      <c r="Z105" s="71"/>
      <c r="AA105" s="71"/>
      <c r="AB105" s="71"/>
      <c r="AC105" s="22"/>
      <c r="AD105" s="22"/>
      <c r="AE105" s="22"/>
      <c r="AF105" s="22"/>
      <c r="AG105" s="22"/>
      <c r="AH105" s="22"/>
      <c r="AI105" s="22"/>
      <c r="AJ105" s="22"/>
      <c r="AK105" s="22"/>
      <c r="AL105" s="22"/>
      <c r="AM105" s="22"/>
      <c r="AN105" s="22"/>
      <c r="AO105" s="22"/>
      <c r="AP105" s="22"/>
      <c r="AQ105" s="22"/>
      <c r="AR105" s="22"/>
      <c r="AS105" s="22"/>
    </row>
    <row r="106" spans="1:45" x14ac:dyDescent="0.3">
      <c r="A106" s="22"/>
      <c r="B106" s="71"/>
      <c r="C106" s="22"/>
      <c r="D106" s="23"/>
      <c r="E106" s="22"/>
      <c r="F106" s="22"/>
      <c r="G106" s="22"/>
      <c r="H106" s="23"/>
      <c r="I106" s="22"/>
      <c r="J106" s="22"/>
      <c r="K106" s="22"/>
      <c r="L106" s="23"/>
      <c r="M106" s="71"/>
      <c r="N106" s="71"/>
      <c r="O106" s="22"/>
      <c r="P106" s="22"/>
      <c r="Q106" s="22"/>
      <c r="R106" s="71"/>
      <c r="S106" s="71"/>
      <c r="T106" s="71"/>
      <c r="U106" s="71"/>
      <c r="V106" s="71"/>
      <c r="W106" s="71"/>
      <c r="X106" s="71"/>
      <c r="Y106" s="71"/>
      <c r="Z106" s="71"/>
      <c r="AA106" s="71"/>
      <c r="AB106" s="71"/>
      <c r="AC106" s="22"/>
      <c r="AD106" s="22"/>
      <c r="AE106" s="22"/>
      <c r="AF106" s="22"/>
      <c r="AG106" s="22"/>
      <c r="AH106" s="22"/>
      <c r="AI106" s="22"/>
      <c r="AJ106" s="22"/>
      <c r="AK106" s="22"/>
      <c r="AL106" s="22"/>
      <c r="AM106" s="22"/>
      <c r="AN106" s="22"/>
      <c r="AO106" s="22"/>
      <c r="AP106" s="22"/>
      <c r="AQ106" s="22"/>
      <c r="AR106" s="22"/>
      <c r="AS106" s="22"/>
    </row>
    <row r="107" spans="1:45" x14ac:dyDescent="0.3">
      <c r="A107" s="22"/>
      <c r="B107" s="71"/>
      <c r="C107" s="22"/>
      <c r="D107" s="23"/>
      <c r="E107" s="22"/>
      <c r="F107" s="22"/>
      <c r="G107" s="22"/>
      <c r="H107" s="23"/>
      <c r="I107" s="22"/>
      <c r="J107" s="22"/>
      <c r="K107" s="22"/>
      <c r="L107" s="23"/>
      <c r="M107" s="71"/>
      <c r="N107" s="71"/>
      <c r="O107" s="22"/>
      <c r="P107" s="22"/>
      <c r="Q107" s="22"/>
      <c r="R107" s="71"/>
      <c r="S107" s="71"/>
      <c r="T107" s="71"/>
      <c r="U107" s="71"/>
      <c r="V107" s="71"/>
      <c r="W107" s="71"/>
      <c r="X107" s="71"/>
      <c r="Y107" s="71"/>
      <c r="Z107" s="71"/>
      <c r="AA107" s="71"/>
      <c r="AB107" s="71"/>
      <c r="AC107" s="22"/>
      <c r="AD107" s="22"/>
      <c r="AE107" s="22"/>
      <c r="AF107" s="22"/>
      <c r="AG107" s="22"/>
      <c r="AH107" s="22"/>
      <c r="AI107" s="22"/>
      <c r="AJ107" s="22"/>
      <c r="AK107" s="22"/>
      <c r="AL107" s="22"/>
      <c r="AM107" s="22"/>
      <c r="AN107" s="22"/>
      <c r="AO107" s="22"/>
      <c r="AP107" s="22"/>
      <c r="AQ107" s="22"/>
      <c r="AR107" s="22"/>
      <c r="AS107" s="22"/>
    </row>
    <row r="108" spans="1:45" x14ac:dyDescent="0.3">
      <c r="A108" s="22"/>
      <c r="B108" s="71"/>
      <c r="C108" s="22"/>
      <c r="D108" s="23"/>
      <c r="E108" s="22"/>
      <c r="F108" s="22"/>
      <c r="G108" s="22"/>
      <c r="H108" s="23"/>
      <c r="I108" s="22"/>
      <c r="J108" s="22"/>
      <c r="K108" s="22"/>
      <c r="L108" s="23"/>
      <c r="M108" s="71"/>
      <c r="N108" s="71"/>
      <c r="O108" s="22"/>
      <c r="P108" s="22"/>
      <c r="Q108" s="22"/>
      <c r="R108" s="71"/>
      <c r="S108" s="71"/>
      <c r="T108" s="71"/>
      <c r="U108" s="71"/>
      <c r="V108" s="71"/>
      <c r="W108" s="71"/>
      <c r="X108" s="71"/>
      <c r="Y108" s="71"/>
      <c r="Z108" s="71"/>
      <c r="AA108" s="71"/>
      <c r="AB108" s="71"/>
      <c r="AC108" s="22"/>
      <c r="AD108" s="22"/>
      <c r="AE108" s="22"/>
      <c r="AF108" s="22"/>
      <c r="AG108" s="22"/>
      <c r="AH108" s="22"/>
      <c r="AI108" s="22"/>
      <c r="AJ108" s="22"/>
      <c r="AK108" s="22"/>
      <c r="AL108" s="22"/>
      <c r="AM108" s="22"/>
      <c r="AN108" s="22"/>
      <c r="AO108" s="22"/>
      <c r="AP108" s="22"/>
      <c r="AQ108" s="22"/>
      <c r="AR108" s="22"/>
      <c r="AS108" s="22"/>
    </row>
    <row r="109" spans="1:45" x14ac:dyDescent="0.3">
      <c r="A109" s="22"/>
      <c r="B109" s="71"/>
      <c r="C109" s="22"/>
      <c r="D109" s="23"/>
      <c r="E109" s="22"/>
      <c r="F109" s="22"/>
      <c r="G109" s="22"/>
      <c r="H109" s="23"/>
      <c r="I109" s="22"/>
      <c r="J109" s="22"/>
      <c r="K109" s="22"/>
      <c r="L109" s="23"/>
      <c r="M109" s="71"/>
      <c r="N109" s="71"/>
      <c r="O109" s="22"/>
      <c r="P109" s="22"/>
      <c r="Q109" s="22"/>
      <c r="R109" s="71"/>
      <c r="S109" s="71"/>
      <c r="T109" s="71"/>
      <c r="U109" s="71"/>
      <c r="V109" s="71"/>
      <c r="W109" s="71"/>
      <c r="X109" s="71"/>
      <c r="Y109" s="71"/>
      <c r="Z109" s="71"/>
      <c r="AA109" s="71"/>
      <c r="AB109" s="71"/>
      <c r="AC109" s="22"/>
      <c r="AD109" s="22"/>
      <c r="AE109" s="22"/>
      <c r="AF109" s="22"/>
      <c r="AG109" s="22"/>
      <c r="AH109" s="22"/>
      <c r="AI109" s="22"/>
      <c r="AJ109" s="22"/>
      <c r="AK109" s="22"/>
      <c r="AL109" s="22"/>
      <c r="AM109" s="22"/>
      <c r="AN109" s="22"/>
      <c r="AO109" s="22"/>
      <c r="AP109" s="22"/>
      <c r="AQ109" s="22"/>
      <c r="AR109" s="22"/>
      <c r="AS109" s="22"/>
    </row>
    <row r="110" spans="1:45" x14ac:dyDescent="0.3">
      <c r="A110" s="22"/>
      <c r="B110" s="71"/>
      <c r="C110" s="22"/>
      <c r="D110" s="23"/>
      <c r="E110" s="22"/>
      <c r="F110" s="22"/>
      <c r="G110" s="22"/>
      <c r="H110" s="23"/>
      <c r="I110" s="22"/>
      <c r="J110" s="22"/>
      <c r="K110" s="22"/>
      <c r="L110" s="23"/>
      <c r="M110" s="71"/>
      <c r="N110" s="71"/>
      <c r="O110" s="22"/>
      <c r="P110" s="22"/>
      <c r="Q110" s="22"/>
      <c r="R110" s="71"/>
      <c r="S110" s="71"/>
      <c r="T110" s="71"/>
      <c r="U110" s="71"/>
      <c r="V110" s="71"/>
      <c r="W110" s="71"/>
      <c r="X110" s="71"/>
      <c r="Y110" s="71"/>
      <c r="Z110" s="71"/>
      <c r="AA110" s="71"/>
      <c r="AB110" s="71"/>
      <c r="AC110" s="22"/>
      <c r="AD110" s="22"/>
      <c r="AE110" s="22"/>
      <c r="AF110" s="22"/>
      <c r="AG110" s="22"/>
      <c r="AH110" s="22"/>
      <c r="AI110" s="22"/>
      <c r="AJ110" s="22"/>
      <c r="AK110" s="22"/>
      <c r="AL110" s="22"/>
      <c r="AM110" s="22"/>
      <c r="AN110" s="22"/>
      <c r="AO110" s="22"/>
      <c r="AP110" s="22"/>
      <c r="AQ110" s="22"/>
      <c r="AR110" s="22"/>
      <c r="AS110" s="22"/>
    </row>
    <row r="111" spans="1:45" x14ac:dyDescent="0.3">
      <c r="A111" s="22"/>
      <c r="B111" s="71"/>
      <c r="C111" s="22"/>
      <c r="D111" s="23"/>
      <c r="E111" s="22"/>
      <c r="F111" s="22"/>
      <c r="G111" s="22"/>
      <c r="H111" s="23"/>
      <c r="I111" s="22"/>
      <c r="J111" s="22"/>
      <c r="K111" s="22"/>
      <c r="L111" s="23"/>
      <c r="M111" s="71"/>
      <c r="N111" s="71"/>
      <c r="O111" s="22"/>
      <c r="P111" s="22"/>
      <c r="Q111" s="22"/>
      <c r="R111" s="71"/>
      <c r="S111" s="71"/>
      <c r="T111" s="71"/>
      <c r="U111" s="71"/>
      <c r="V111" s="71"/>
      <c r="W111" s="71"/>
      <c r="X111" s="71"/>
      <c r="Y111" s="71"/>
      <c r="Z111" s="71"/>
      <c r="AA111" s="71"/>
      <c r="AB111" s="71"/>
      <c r="AC111" s="22"/>
      <c r="AD111" s="22"/>
      <c r="AE111" s="22"/>
      <c r="AF111" s="22"/>
      <c r="AG111" s="22"/>
      <c r="AH111" s="22"/>
      <c r="AI111" s="22"/>
      <c r="AJ111" s="22"/>
      <c r="AK111" s="22"/>
      <c r="AL111" s="22"/>
      <c r="AM111" s="22"/>
      <c r="AN111" s="22"/>
      <c r="AO111" s="22"/>
      <c r="AP111" s="22"/>
      <c r="AQ111" s="22"/>
      <c r="AR111" s="22"/>
      <c r="AS111" s="22"/>
    </row>
    <row r="112" spans="1:45" x14ac:dyDescent="0.3">
      <c r="A112" s="22"/>
      <c r="B112" s="71"/>
      <c r="C112" s="22"/>
      <c r="D112" s="23"/>
      <c r="E112" s="22"/>
      <c r="F112" s="22"/>
      <c r="G112" s="22"/>
      <c r="H112" s="23"/>
      <c r="I112" s="22"/>
      <c r="J112" s="22"/>
      <c r="K112" s="22"/>
      <c r="L112" s="23"/>
      <c r="M112" s="71"/>
      <c r="N112" s="71"/>
      <c r="O112" s="22"/>
      <c r="P112" s="22"/>
      <c r="Q112" s="22"/>
      <c r="R112" s="71"/>
      <c r="S112" s="71"/>
      <c r="T112" s="71"/>
      <c r="U112" s="71"/>
      <c r="V112" s="71"/>
      <c r="W112" s="71"/>
      <c r="X112" s="71"/>
      <c r="Y112" s="71"/>
      <c r="Z112" s="71"/>
      <c r="AA112" s="71"/>
      <c r="AB112" s="71"/>
      <c r="AC112" s="22"/>
      <c r="AD112" s="22"/>
      <c r="AE112" s="22"/>
      <c r="AF112" s="22"/>
      <c r="AG112" s="22"/>
      <c r="AH112" s="22"/>
      <c r="AI112" s="22"/>
      <c r="AJ112" s="22"/>
      <c r="AK112" s="22"/>
      <c r="AL112" s="22"/>
      <c r="AM112" s="22"/>
      <c r="AN112" s="22"/>
      <c r="AO112" s="22"/>
      <c r="AP112" s="22"/>
      <c r="AQ112" s="22"/>
      <c r="AR112" s="22"/>
      <c r="AS112" s="22"/>
    </row>
    <row r="113" spans="1:45" x14ac:dyDescent="0.3">
      <c r="A113" s="22"/>
      <c r="B113" s="71"/>
      <c r="C113" s="22"/>
      <c r="D113" s="23"/>
      <c r="E113" s="22"/>
      <c r="F113" s="22"/>
      <c r="G113" s="22"/>
      <c r="H113" s="23"/>
      <c r="I113" s="22"/>
      <c r="J113" s="22"/>
      <c r="K113" s="22"/>
      <c r="L113" s="23"/>
      <c r="M113" s="71"/>
      <c r="N113" s="71"/>
      <c r="O113" s="22"/>
      <c r="P113" s="22"/>
      <c r="Q113" s="22"/>
      <c r="R113" s="71"/>
      <c r="S113" s="71"/>
      <c r="T113" s="71"/>
      <c r="U113" s="71"/>
      <c r="V113" s="71"/>
      <c r="W113" s="71"/>
      <c r="X113" s="71"/>
      <c r="Y113" s="71"/>
      <c r="Z113" s="71"/>
      <c r="AA113" s="71"/>
      <c r="AB113" s="71"/>
      <c r="AC113" s="22"/>
      <c r="AD113" s="22"/>
      <c r="AE113" s="22"/>
      <c r="AF113" s="22"/>
      <c r="AG113" s="22"/>
      <c r="AH113" s="22"/>
      <c r="AI113" s="22"/>
      <c r="AJ113" s="22"/>
      <c r="AK113" s="22"/>
      <c r="AL113" s="22"/>
      <c r="AM113" s="22"/>
      <c r="AN113" s="22"/>
      <c r="AO113" s="22"/>
      <c r="AP113" s="22"/>
      <c r="AQ113" s="22"/>
      <c r="AR113" s="22"/>
      <c r="AS113" s="22"/>
    </row>
    <row r="114" spans="1:45" x14ac:dyDescent="0.3">
      <c r="A114" s="22"/>
      <c r="B114" s="71"/>
      <c r="C114" s="22"/>
      <c r="D114" s="23"/>
      <c r="E114" s="22"/>
      <c r="F114" s="22"/>
      <c r="G114" s="22"/>
      <c r="H114" s="23"/>
      <c r="I114" s="22"/>
      <c r="J114" s="22"/>
      <c r="K114" s="22"/>
      <c r="L114" s="23"/>
      <c r="M114" s="71"/>
      <c r="N114" s="71"/>
      <c r="O114" s="22"/>
      <c r="P114" s="22"/>
      <c r="Q114" s="22"/>
      <c r="R114" s="71"/>
      <c r="S114" s="71"/>
      <c r="T114" s="71"/>
      <c r="U114" s="71"/>
      <c r="V114" s="71"/>
      <c r="W114" s="71"/>
      <c r="X114" s="71"/>
      <c r="Y114" s="71"/>
      <c r="Z114" s="71"/>
      <c r="AA114" s="71"/>
      <c r="AB114" s="71"/>
      <c r="AC114" s="22"/>
      <c r="AD114" s="22"/>
      <c r="AE114" s="22"/>
      <c r="AF114" s="22"/>
      <c r="AG114" s="22"/>
      <c r="AH114" s="22"/>
      <c r="AI114" s="22"/>
      <c r="AJ114" s="22"/>
      <c r="AK114" s="22"/>
      <c r="AL114" s="22"/>
      <c r="AM114" s="22"/>
      <c r="AN114" s="22"/>
      <c r="AO114" s="22"/>
      <c r="AP114" s="22"/>
      <c r="AQ114" s="22"/>
      <c r="AR114" s="22"/>
      <c r="AS114" s="22"/>
    </row>
    <row r="115" spans="1:45" x14ac:dyDescent="0.3">
      <c r="A115" s="22"/>
      <c r="B115" s="71"/>
      <c r="C115" s="22"/>
      <c r="D115" s="23"/>
      <c r="E115" s="22"/>
      <c r="F115" s="22"/>
      <c r="G115" s="22"/>
      <c r="H115" s="23"/>
      <c r="I115" s="22"/>
      <c r="J115" s="22"/>
      <c r="K115" s="22"/>
      <c r="L115" s="23"/>
      <c r="M115" s="71"/>
      <c r="N115" s="71"/>
      <c r="O115" s="22"/>
      <c r="P115" s="22"/>
      <c r="Q115" s="22"/>
      <c r="R115" s="71"/>
      <c r="S115" s="71"/>
      <c r="T115" s="71"/>
      <c r="U115" s="71"/>
      <c r="V115" s="71"/>
      <c r="W115" s="71"/>
      <c r="X115" s="71"/>
      <c r="Y115" s="71"/>
      <c r="Z115" s="71"/>
      <c r="AA115" s="71"/>
      <c r="AB115" s="71"/>
      <c r="AC115" s="22"/>
      <c r="AD115" s="22"/>
      <c r="AE115" s="22"/>
      <c r="AF115" s="22"/>
      <c r="AG115" s="22"/>
      <c r="AH115" s="22"/>
      <c r="AI115" s="22"/>
      <c r="AJ115" s="22"/>
      <c r="AK115" s="22"/>
      <c r="AL115" s="22"/>
      <c r="AM115" s="22"/>
      <c r="AN115" s="22"/>
      <c r="AO115" s="22"/>
      <c r="AP115" s="22"/>
      <c r="AQ115" s="22"/>
      <c r="AR115" s="22"/>
      <c r="AS115" s="22"/>
    </row>
    <row r="116" spans="1:45" x14ac:dyDescent="0.3">
      <c r="A116" s="22"/>
      <c r="B116" s="71"/>
      <c r="C116" s="22"/>
      <c r="D116" s="23"/>
      <c r="E116" s="22"/>
      <c r="F116" s="22"/>
      <c r="G116" s="22"/>
      <c r="H116" s="23"/>
      <c r="I116" s="22"/>
      <c r="J116" s="22"/>
      <c r="K116" s="22"/>
      <c r="L116" s="23"/>
      <c r="M116" s="71"/>
      <c r="N116" s="71"/>
      <c r="O116" s="22"/>
      <c r="P116" s="22"/>
      <c r="Q116" s="22"/>
      <c r="R116" s="71"/>
      <c r="S116" s="71"/>
      <c r="T116" s="71"/>
      <c r="U116" s="71"/>
      <c r="V116" s="71"/>
      <c r="W116" s="71"/>
      <c r="X116" s="71"/>
      <c r="Y116" s="71"/>
      <c r="Z116" s="71"/>
      <c r="AA116" s="71"/>
      <c r="AB116" s="71"/>
      <c r="AC116" s="22"/>
      <c r="AD116" s="22"/>
      <c r="AE116" s="22"/>
      <c r="AF116" s="22"/>
      <c r="AG116" s="22"/>
      <c r="AH116" s="22"/>
      <c r="AI116" s="22"/>
      <c r="AJ116" s="22"/>
      <c r="AK116" s="22"/>
      <c r="AL116" s="22"/>
      <c r="AM116" s="22"/>
      <c r="AN116" s="22"/>
      <c r="AO116" s="22"/>
      <c r="AP116" s="22"/>
      <c r="AQ116" s="22"/>
      <c r="AR116" s="22"/>
      <c r="AS116" s="22"/>
    </row>
    <row r="117" spans="1:45" x14ac:dyDescent="0.3">
      <c r="A117" s="22"/>
      <c r="B117" s="71"/>
      <c r="C117" s="22"/>
      <c r="D117" s="23"/>
      <c r="E117" s="22"/>
      <c r="F117" s="22"/>
      <c r="G117" s="22"/>
      <c r="H117" s="23"/>
      <c r="I117" s="22"/>
      <c r="J117" s="22"/>
      <c r="K117" s="22"/>
      <c r="L117" s="23"/>
      <c r="M117" s="71"/>
      <c r="N117" s="71"/>
      <c r="O117" s="22"/>
      <c r="P117" s="22"/>
      <c r="Q117" s="22"/>
      <c r="R117" s="71"/>
      <c r="S117" s="71"/>
      <c r="T117" s="71"/>
      <c r="U117" s="71"/>
      <c r="V117" s="71"/>
      <c r="W117" s="71"/>
      <c r="X117" s="71"/>
      <c r="Y117" s="71"/>
      <c r="Z117" s="71"/>
      <c r="AA117" s="71"/>
      <c r="AB117" s="71"/>
      <c r="AC117" s="22"/>
      <c r="AD117" s="22"/>
      <c r="AE117" s="22"/>
      <c r="AF117" s="22"/>
      <c r="AG117" s="22"/>
      <c r="AH117" s="22"/>
      <c r="AI117" s="22"/>
      <c r="AJ117" s="22"/>
      <c r="AK117" s="22"/>
      <c r="AL117" s="22"/>
      <c r="AM117" s="22"/>
      <c r="AN117" s="22"/>
      <c r="AO117" s="22"/>
      <c r="AP117" s="22"/>
      <c r="AQ117" s="22"/>
      <c r="AR117" s="22"/>
      <c r="AS117" s="22"/>
    </row>
    <row r="118" spans="1:45" x14ac:dyDescent="0.3">
      <c r="A118" s="22"/>
      <c r="B118" s="71"/>
      <c r="C118" s="22"/>
      <c r="D118" s="23"/>
      <c r="E118" s="22"/>
      <c r="F118" s="22"/>
      <c r="G118" s="22"/>
      <c r="H118" s="23"/>
      <c r="I118" s="22"/>
      <c r="J118" s="22"/>
      <c r="K118" s="22"/>
      <c r="L118" s="23"/>
      <c r="M118" s="71"/>
      <c r="N118" s="71"/>
      <c r="O118" s="22"/>
      <c r="P118" s="22"/>
      <c r="Q118" s="22"/>
      <c r="R118" s="71"/>
      <c r="S118" s="71"/>
      <c r="T118" s="71"/>
      <c r="U118" s="71"/>
      <c r="V118" s="71"/>
      <c r="W118" s="71"/>
      <c r="X118" s="71"/>
      <c r="Y118" s="71"/>
      <c r="Z118" s="71"/>
      <c r="AA118" s="71"/>
      <c r="AB118" s="71"/>
      <c r="AC118" s="22"/>
      <c r="AD118" s="22"/>
      <c r="AE118" s="22"/>
      <c r="AF118" s="22"/>
      <c r="AG118" s="22"/>
      <c r="AH118" s="22"/>
      <c r="AI118" s="22"/>
      <c r="AJ118" s="22"/>
      <c r="AK118" s="22"/>
      <c r="AL118" s="22"/>
      <c r="AM118" s="22"/>
      <c r="AN118" s="22"/>
      <c r="AO118" s="22"/>
      <c r="AP118" s="22"/>
      <c r="AQ118" s="22"/>
      <c r="AR118" s="22"/>
      <c r="AS118" s="22"/>
    </row>
    <row r="119" spans="1:45" x14ac:dyDescent="0.3">
      <c r="A119" s="22"/>
      <c r="B119" s="71"/>
      <c r="C119" s="22"/>
      <c r="D119" s="23"/>
      <c r="E119" s="22"/>
      <c r="F119" s="22"/>
      <c r="G119" s="22"/>
      <c r="H119" s="23"/>
      <c r="I119" s="22"/>
      <c r="J119" s="22"/>
      <c r="K119" s="22"/>
      <c r="L119" s="23"/>
      <c r="M119" s="71"/>
      <c r="N119" s="71"/>
      <c r="O119" s="22"/>
      <c r="P119" s="22"/>
      <c r="Q119" s="22"/>
      <c r="R119" s="71"/>
      <c r="S119" s="71"/>
      <c r="T119" s="71"/>
      <c r="U119" s="71"/>
      <c r="V119" s="71"/>
      <c r="W119" s="71"/>
      <c r="X119" s="71"/>
      <c r="Y119" s="71"/>
      <c r="Z119" s="71"/>
      <c r="AA119" s="71"/>
      <c r="AB119" s="71"/>
      <c r="AC119" s="22"/>
      <c r="AD119" s="22"/>
      <c r="AE119" s="22"/>
      <c r="AF119" s="22"/>
      <c r="AG119" s="22"/>
      <c r="AH119" s="22"/>
      <c r="AI119" s="22"/>
      <c r="AJ119" s="22"/>
      <c r="AK119" s="22"/>
      <c r="AL119" s="22"/>
      <c r="AM119" s="22"/>
      <c r="AN119" s="22"/>
      <c r="AO119" s="22"/>
      <c r="AP119" s="22"/>
      <c r="AQ119" s="22"/>
      <c r="AR119" s="22"/>
      <c r="AS119" s="22"/>
    </row>
    <row r="120" spans="1:45" x14ac:dyDescent="0.3">
      <c r="A120" s="22"/>
      <c r="B120" s="71"/>
      <c r="C120" s="22"/>
      <c r="D120" s="23"/>
      <c r="E120" s="22"/>
      <c r="F120" s="22"/>
      <c r="G120" s="22"/>
      <c r="H120" s="23"/>
      <c r="I120" s="22"/>
      <c r="J120" s="22"/>
      <c r="K120" s="22"/>
      <c r="L120" s="23"/>
      <c r="M120" s="71"/>
      <c r="N120" s="71"/>
      <c r="O120" s="22"/>
      <c r="P120" s="22"/>
      <c r="Q120" s="22"/>
      <c r="R120" s="71"/>
      <c r="S120" s="71"/>
      <c r="T120" s="71"/>
      <c r="U120" s="71"/>
      <c r="V120" s="71"/>
      <c r="W120" s="71"/>
      <c r="X120" s="71"/>
      <c r="Y120" s="71"/>
      <c r="Z120" s="71"/>
      <c r="AA120" s="71"/>
      <c r="AB120" s="71"/>
      <c r="AC120" s="22"/>
      <c r="AD120" s="22"/>
      <c r="AE120" s="22"/>
      <c r="AF120" s="22"/>
      <c r="AG120" s="22"/>
      <c r="AH120" s="22"/>
      <c r="AI120" s="22"/>
      <c r="AJ120" s="22"/>
      <c r="AK120" s="22"/>
      <c r="AL120" s="22"/>
      <c r="AM120" s="22"/>
      <c r="AN120" s="22"/>
      <c r="AO120" s="22"/>
      <c r="AP120" s="22"/>
      <c r="AQ120" s="22"/>
      <c r="AR120" s="22"/>
      <c r="AS120" s="22"/>
    </row>
    <row r="121" spans="1:45" x14ac:dyDescent="0.3">
      <c r="A121" s="22"/>
      <c r="B121" s="71"/>
      <c r="C121" s="22"/>
      <c r="D121" s="23"/>
      <c r="E121" s="22"/>
      <c r="F121" s="22"/>
      <c r="G121" s="22"/>
      <c r="H121" s="23"/>
      <c r="I121" s="22"/>
      <c r="J121" s="22"/>
      <c r="K121" s="22"/>
      <c r="L121" s="23"/>
      <c r="M121" s="71"/>
      <c r="N121" s="71"/>
      <c r="O121" s="22"/>
      <c r="P121" s="22"/>
      <c r="Q121" s="22"/>
      <c r="R121" s="71"/>
      <c r="S121" s="71"/>
      <c r="T121" s="71"/>
      <c r="U121" s="71"/>
      <c r="V121" s="71"/>
      <c r="W121" s="71"/>
      <c r="X121" s="71"/>
      <c r="Y121" s="71"/>
      <c r="Z121" s="71"/>
      <c r="AA121" s="71"/>
      <c r="AB121" s="71"/>
      <c r="AC121" s="22"/>
      <c r="AD121" s="22"/>
      <c r="AE121" s="22"/>
      <c r="AF121" s="22"/>
      <c r="AG121" s="22"/>
      <c r="AH121" s="22"/>
      <c r="AI121" s="22"/>
      <c r="AJ121" s="22"/>
      <c r="AK121" s="22"/>
      <c r="AL121" s="22"/>
      <c r="AM121" s="22"/>
      <c r="AN121" s="22"/>
      <c r="AO121" s="22"/>
      <c r="AP121" s="22"/>
      <c r="AQ121" s="22"/>
      <c r="AR121" s="22"/>
      <c r="AS121" s="22"/>
    </row>
    <row r="122" spans="1:45" x14ac:dyDescent="0.3">
      <c r="A122" s="22"/>
      <c r="B122" s="71"/>
      <c r="C122" s="22"/>
      <c r="D122" s="23"/>
      <c r="E122" s="22"/>
      <c r="F122" s="22"/>
      <c r="G122" s="22"/>
      <c r="H122" s="23"/>
      <c r="I122" s="22"/>
      <c r="J122" s="22"/>
      <c r="K122" s="22"/>
      <c r="L122" s="23"/>
      <c r="M122" s="71"/>
      <c r="N122" s="71"/>
      <c r="O122" s="22"/>
      <c r="P122" s="22"/>
      <c r="Q122" s="22"/>
      <c r="R122" s="71"/>
      <c r="S122" s="71"/>
      <c r="T122" s="71"/>
      <c r="U122" s="71"/>
      <c r="V122" s="71"/>
      <c r="W122" s="71"/>
      <c r="X122" s="71"/>
      <c r="Y122" s="71"/>
      <c r="Z122" s="71"/>
      <c r="AA122" s="71"/>
      <c r="AB122" s="71"/>
      <c r="AC122" s="22"/>
      <c r="AD122" s="22"/>
      <c r="AE122" s="22"/>
      <c r="AF122" s="22"/>
      <c r="AG122" s="22"/>
      <c r="AH122" s="22"/>
      <c r="AI122" s="22"/>
      <c r="AJ122" s="22"/>
      <c r="AK122" s="22"/>
      <c r="AL122" s="22"/>
      <c r="AM122" s="22"/>
      <c r="AN122" s="22"/>
      <c r="AO122" s="22"/>
      <c r="AP122" s="22"/>
      <c r="AQ122" s="22"/>
      <c r="AR122" s="22"/>
      <c r="AS122" s="22"/>
    </row>
    <row r="123" spans="1:45" x14ac:dyDescent="0.3">
      <c r="A123" s="22"/>
      <c r="B123" s="71"/>
      <c r="C123" s="22"/>
      <c r="D123" s="23"/>
      <c r="E123" s="22"/>
      <c r="F123" s="22"/>
      <c r="G123" s="22"/>
      <c r="H123" s="23"/>
      <c r="I123" s="22"/>
      <c r="J123" s="22"/>
      <c r="K123" s="22"/>
      <c r="L123" s="23"/>
      <c r="M123" s="71"/>
      <c r="N123" s="71"/>
      <c r="O123" s="22"/>
      <c r="P123" s="22"/>
      <c r="Q123" s="22"/>
      <c r="R123" s="71"/>
      <c r="S123" s="71"/>
      <c r="T123" s="71"/>
      <c r="U123" s="71"/>
      <c r="V123" s="71"/>
      <c r="W123" s="71"/>
      <c r="X123" s="71"/>
      <c r="Y123" s="71"/>
      <c r="Z123" s="71"/>
      <c r="AA123" s="71"/>
      <c r="AB123" s="71"/>
      <c r="AC123" s="22"/>
      <c r="AD123" s="22"/>
      <c r="AE123" s="22"/>
      <c r="AF123" s="22"/>
      <c r="AG123" s="22"/>
      <c r="AH123" s="22"/>
      <c r="AI123" s="22"/>
      <c r="AJ123" s="22"/>
      <c r="AK123" s="22"/>
      <c r="AL123" s="22"/>
      <c r="AM123" s="22"/>
      <c r="AN123" s="22"/>
      <c r="AO123" s="22"/>
      <c r="AP123" s="22"/>
      <c r="AQ123" s="22"/>
      <c r="AR123" s="22"/>
      <c r="AS123" s="22"/>
    </row>
    <row r="124" spans="1:45" x14ac:dyDescent="0.3">
      <c r="A124" s="22"/>
      <c r="B124" s="71"/>
      <c r="C124" s="22"/>
      <c r="D124" s="23"/>
      <c r="E124" s="22"/>
      <c r="F124" s="22"/>
      <c r="G124" s="22"/>
      <c r="H124" s="23"/>
      <c r="I124" s="22"/>
      <c r="J124" s="22"/>
      <c r="K124" s="22"/>
      <c r="L124" s="23"/>
      <c r="M124" s="71"/>
      <c r="N124" s="71"/>
      <c r="O124" s="22"/>
      <c r="P124" s="22"/>
      <c r="Q124" s="22"/>
      <c r="R124" s="71"/>
      <c r="S124" s="71"/>
      <c r="T124" s="71"/>
      <c r="U124" s="71"/>
      <c r="V124" s="71"/>
      <c r="W124" s="71"/>
      <c r="X124" s="71"/>
      <c r="Y124" s="71"/>
      <c r="Z124" s="71"/>
      <c r="AA124" s="71"/>
      <c r="AB124" s="71"/>
      <c r="AC124" s="22"/>
      <c r="AD124" s="22"/>
      <c r="AE124" s="22"/>
      <c r="AF124" s="22"/>
      <c r="AG124" s="22"/>
      <c r="AH124" s="22"/>
      <c r="AI124" s="22"/>
      <c r="AJ124" s="22"/>
      <c r="AK124" s="22"/>
      <c r="AL124" s="22"/>
      <c r="AM124" s="22"/>
      <c r="AN124" s="22"/>
      <c r="AO124" s="22"/>
      <c r="AP124" s="22"/>
      <c r="AQ124" s="22"/>
      <c r="AR124" s="22"/>
      <c r="AS124" s="22"/>
    </row>
    <row r="125" spans="1:45" x14ac:dyDescent="0.3">
      <c r="A125" s="22"/>
      <c r="B125" s="71"/>
      <c r="C125" s="22"/>
      <c r="D125" s="23"/>
      <c r="E125" s="22"/>
      <c r="F125" s="22"/>
      <c r="G125" s="22"/>
      <c r="H125" s="23"/>
      <c r="I125" s="22"/>
      <c r="J125" s="22"/>
      <c r="K125" s="22"/>
      <c r="L125" s="23"/>
      <c r="M125" s="71"/>
      <c r="N125" s="71"/>
      <c r="O125" s="22"/>
      <c r="P125" s="22"/>
      <c r="Q125" s="22"/>
      <c r="R125" s="71"/>
      <c r="S125" s="71"/>
      <c r="T125" s="71"/>
      <c r="U125" s="71"/>
      <c r="V125" s="71"/>
      <c r="W125" s="71"/>
      <c r="X125" s="71"/>
      <c r="Y125" s="71"/>
      <c r="Z125" s="71"/>
      <c r="AA125" s="71"/>
      <c r="AB125" s="71"/>
      <c r="AC125" s="22"/>
      <c r="AD125" s="22"/>
      <c r="AE125" s="22"/>
      <c r="AF125" s="22"/>
      <c r="AG125" s="22"/>
      <c r="AH125" s="22"/>
      <c r="AI125" s="22"/>
      <c r="AJ125" s="22"/>
      <c r="AK125" s="22"/>
      <c r="AL125" s="22"/>
      <c r="AM125" s="22"/>
      <c r="AN125" s="22"/>
      <c r="AO125" s="22"/>
      <c r="AP125" s="22"/>
      <c r="AQ125" s="22"/>
      <c r="AR125" s="22"/>
      <c r="AS125" s="22"/>
    </row>
    <row r="126" spans="1:45" x14ac:dyDescent="0.3">
      <c r="A126" s="22"/>
      <c r="B126" s="71"/>
      <c r="C126" s="22"/>
      <c r="D126" s="23"/>
      <c r="E126" s="22"/>
      <c r="F126" s="22"/>
      <c r="G126" s="22"/>
      <c r="H126" s="23"/>
      <c r="I126" s="22"/>
      <c r="J126" s="22"/>
      <c r="K126" s="22"/>
      <c r="L126" s="23"/>
      <c r="M126" s="71"/>
      <c r="N126" s="71"/>
      <c r="O126" s="22"/>
      <c r="P126" s="22"/>
      <c r="Q126" s="22"/>
      <c r="R126" s="71"/>
      <c r="S126" s="71"/>
      <c r="T126" s="71"/>
      <c r="U126" s="71"/>
      <c r="V126" s="71"/>
      <c r="W126" s="71"/>
      <c r="X126" s="71"/>
      <c r="Y126" s="71"/>
      <c r="Z126" s="71"/>
      <c r="AA126" s="71"/>
      <c r="AB126" s="71"/>
      <c r="AC126" s="22"/>
      <c r="AD126" s="22"/>
      <c r="AE126" s="22"/>
      <c r="AF126" s="22"/>
      <c r="AG126" s="22"/>
      <c r="AH126" s="22"/>
      <c r="AI126" s="22"/>
      <c r="AJ126" s="22"/>
      <c r="AK126" s="22"/>
      <c r="AL126" s="22"/>
      <c r="AM126" s="22"/>
      <c r="AN126" s="22"/>
      <c r="AO126" s="22"/>
      <c r="AP126" s="22"/>
      <c r="AQ126" s="22"/>
      <c r="AR126" s="22"/>
      <c r="AS126" s="22"/>
    </row>
    <row r="127" spans="1:45" x14ac:dyDescent="0.3">
      <c r="A127" s="22"/>
      <c r="B127" s="71"/>
      <c r="C127" s="22"/>
      <c r="D127" s="23"/>
      <c r="E127" s="22"/>
      <c r="F127" s="22"/>
      <c r="G127" s="22"/>
      <c r="H127" s="23"/>
      <c r="I127" s="22"/>
      <c r="J127" s="22"/>
      <c r="K127" s="22"/>
      <c r="L127" s="23"/>
      <c r="M127" s="71"/>
      <c r="N127" s="71"/>
      <c r="O127" s="22"/>
      <c r="P127" s="22"/>
      <c r="Q127" s="22"/>
      <c r="R127" s="71"/>
      <c r="S127" s="71"/>
      <c r="T127" s="71"/>
      <c r="U127" s="71"/>
      <c r="V127" s="71"/>
      <c r="W127" s="71"/>
      <c r="X127" s="71"/>
      <c r="Y127" s="71"/>
      <c r="Z127" s="71"/>
      <c r="AA127" s="71"/>
      <c r="AB127" s="71"/>
      <c r="AC127" s="22"/>
      <c r="AD127" s="22"/>
      <c r="AE127" s="22"/>
      <c r="AF127" s="22"/>
      <c r="AG127" s="22"/>
      <c r="AH127" s="22"/>
      <c r="AI127" s="22"/>
      <c r="AJ127" s="22"/>
      <c r="AK127" s="22"/>
      <c r="AL127" s="22"/>
      <c r="AM127" s="22"/>
      <c r="AN127" s="22"/>
      <c r="AO127" s="22"/>
      <c r="AP127" s="22"/>
      <c r="AQ127" s="22"/>
      <c r="AR127" s="22"/>
      <c r="AS127" s="22"/>
    </row>
    <row r="128" spans="1:45" x14ac:dyDescent="0.3">
      <c r="A128" s="22"/>
      <c r="B128" s="71"/>
      <c r="C128" s="22"/>
      <c r="D128" s="23"/>
      <c r="E128" s="22"/>
      <c r="F128" s="22"/>
      <c r="G128" s="22"/>
      <c r="H128" s="23"/>
      <c r="I128" s="22"/>
      <c r="J128" s="22"/>
      <c r="K128" s="22"/>
      <c r="L128" s="23"/>
      <c r="M128" s="71"/>
      <c r="N128" s="71"/>
      <c r="O128" s="22"/>
      <c r="P128" s="22"/>
      <c r="Q128" s="22"/>
      <c r="R128" s="71"/>
      <c r="S128" s="71"/>
      <c r="T128" s="71"/>
      <c r="U128" s="71"/>
      <c r="V128" s="71"/>
      <c r="W128" s="71"/>
      <c r="X128" s="71"/>
      <c r="Y128" s="71"/>
      <c r="Z128" s="71"/>
      <c r="AA128" s="71"/>
      <c r="AB128" s="71"/>
      <c r="AC128" s="22"/>
      <c r="AD128" s="22"/>
      <c r="AE128" s="22"/>
      <c r="AF128" s="22"/>
      <c r="AG128" s="22"/>
      <c r="AH128" s="22"/>
      <c r="AI128" s="22"/>
      <c r="AJ128" s="22"/>
      <c r="AK128" s="22"/>
      <c r="AL128" s="22"/>
      <c r="AM128" s="22"/>
      <c r="AN128" s="22"/>
      <c r="AO128" s="22"/>
      <c r="AP128" s="22"/>
      <c r="AQ128" s="22"/>
      <c r="AR128" s="22"/>
      <c r="AS128" s="22"/>
    </row>
    <row r="129" spans="1:45" x14ac:dyDescent="0.3">
      <c r="A129" s="22"/>
      <c r="B129" s="71"/>
      <c r="C129" s="22"/>
      <c r="D129" s="23"/>
      <c r="E129" s="22"/>
      <c r="F129" s="22"/>
      <c r="G129" s="22"/>
      <c r="H129" s="23"/>
      <c r="I129" s="22"/>
      <c r="J129" s="22"/>
      <c r="K129" s="22"/>
      <c r="L129" s="23"/>
      <c r="M129" s="71"/>
      <c r="N129" s="71"/>
      <c r="O129" s="22"/>
      <c r="P129" s="22"/>
      <c r="Q129" s="22"/>
      <c r="R129" s="71"/>
      <c r="S129" s="71"/>
      <c r="T129" s="71"/>
      <c r="U129" s="71"/>
      <c r="V129" s="71"/>
      <c r="W129" s="71"/>
      <c r="X129" s="71"/>
      <c r="Y129" s="71"/>
      <c r="Z129" s="71"/>
      <c r="AA129" s="71"/>
      <c r="AB129" s="71"/>
      <c r="AC129" s="22"/>
      <c r="AD129" s="22"/>
      <c r="AE129" s="22"/>
      <c r="AF129" s="22"/>
      <c r="AG129" s="22"/>
      <c r="AH129" s="22"/>
      <c r="AI129" s="22"/>
      <c r="AJ129" s="22"/>
      <c r="AK129" s="22"/>
      <c r="AL129" s="22"/>
      <c r="AM129" s="22"/>
      <c r="AN129" s="22"/>
      <c r="AO129" s="22"/>
      <c r="AP129" s="22"/>
      <c r="AQ129" s="22"/>
      <c r="AR129" s="22"/>
      <c r="AS129" s="22"/>
    </row>
    <row r="130" spans="1:45" x14ac:dyDescent="0.3">
      <c r="A130" s="22"/>
      <c r="B130" s="71"/>
      <c r="C130" s="22"/>
      <c r="D130" s="23"/>
      <c r="E130" s="22"/>
      <c r="F130" s="22"/>
      <c r="G130" s="22"/>
      <c r="H130" s="23"/>
      <c r="I130" s="22"/>
      <c r="J130" s="22"/>
      <c r="K130" s="22"/>
      <c r="L130" s="23"/>
      <c r="M130" s="71"/>
      <c r="N130" s="71"/>
      <c r="O130" s="22"/>
      <c r="P130" s="22"/>
      <c r="Q130" s="22"/>
      <c r="R130" s="71"/>
      <c r="S130" s="71"/>
      <c r="T130" s="71"/>
      <c r="U130" s="71"/>
      <c r="V130" s="71"/>
      <c r="W130" s="71"/>
      <c r="X130" s="71"/>
      <c r="Y130" s="71"/>
      <c r="Z130" s="71"/>
      <c r="AA130" s="71"/>
      <c r="AB130" s="71"/>
      <c r="AC130" s="22"/>
      <c r="AD130" s="22"/>
      <c r="AE130" s="22"/>
      <c r="AF130" s="22"/>
      <c r="AG130" s="22"/>
      <c r="AH130" s="22"/>
      <c r="AI130" s="22"/>
      <c r="AJ130" s="22"/>
      <c r="AK130" s="22"/>
      <c r="AL130" s="22"/>
      <c r="AM130" s="22"/>
      <c r="AN130" s="22"/>
      <c r="AO130" s="22"/>
      <c r="AP130" s="22"/>
      <c r="AQ130" s="22"/>
      <c r="AR130" s="22"/>
      <c r="AS130" s="22"/>
    </row>
    <row r="131" spans="1:45" x14ac:dyDescent="0.3">
      <c r="A131" s="22"/>
      <c r="B131" s="71"/>
      <c r="C131" s="22"/>
      <c r="D131" s="23"/>
      <c r="E131" s="22"/>
      <c r="F131" s="22"/>
      <c r="G131" s="22"/>
      <c r="H131" s="23"/>
      <c r="I131" s="22"/>
      <c r="J131" s="22"/>
      <c r="K131" s="22"/>
      <c r="L131" s="23"/>
      <c r="M131" s="71"/>
      <c r="N131" s="71"/>
      <c r="O131" s="22"/>
      <c r="P131" s="22"/>
      <c r="Q131" s="22"/>
      <c r="R131" s="71"/>
      <c r="S131" s="71"/>
      <c r="T131" s="71"/>
      <c r="U131" s="71"/>
      <c r="V131" s="71"/>
      <c r="W131" s="71"/>
      <c r="X131" s="71"/>
      <c r="Y131" s="71"/>
      <c r="Z131" s="71"/>
      <c r="AA131" s="71"/>
      <c r="AB131" s="71"/>
      <c r="AC131" s="22"/>
      <c r="AD131" s="22"/>
      <c r="AE131" s="22"/>
      <c r="AF131" s="22"/>
      <c r="AG131" s="22"/>
      <c r="AH131" s="22"/>
      <c r="AI131" s="22"/>
      <c r="AJ131" s="22"/>
      <c r="AK131" s="22"/>
      <c r="AL131" s="22"/>
      <c r="AM131" s="22"/>
      <c r="AN131" s="22"/>
      <c r="AO131" s="22"/>
      <c r="AP131" s="22"/>
      <c r="AQ131" s="22"/>
      <c r="AR131" s="22"/>
      <c r="AS131" s="22"/>
    </row>
    <row r="132" spans="1:45" x14ac:dyDescent="0.3">
      <c r="A132" s="22"/>
      <c r="B132" s="71"/>
      <c r="C132" s="22"/>
      <c r="D132" s="23"/>
      <c r="E132" s="22"/>
      <c r="F132" s="22"/>
      <c r="G132" s="22"/>
      <c r="H132" s="23"/>
      <c r="I132" s="22"/>
      <c r="J132" s="22"/>
      <c r="K132" s="22"/>
      <c r="L132" s="23"/>
      <c r="M132" s="71"/>
      <c r="N132" s="71"/>
      <c r="O132" s="22"/>
      <c r="P132" s="22"/>
      <c r="Q132" s="22"/>
      <c r="R132" s="71"/>
      <c r="S132" s="71"/>
      <c r="T132" s="71"/>
      <c r="U132" s="71"/>
      <c r="V132" s="71"/>
      <c r="W132" s="71"/>
      <c r="X132" s="71"/>
      <c r="Y132" s="71"/>
      <c r="Z132" s="71"/>
      <c r="AA132" s="71"/>
      <c r="AB132" s="71"/>
      <c r="AC132" s="22"/>
      <c r="AD132" s="22"/>
      <c r="AE132" s="22"/>
      <c r="AF132" s="22"/>
      <c r="AG132" s="22"/>
      <c r="AH132" s="22"/>
      <c r="AI132" s="22"/>
      <c r="AJ132" s="22"/>
      <c r="AK132" s="22"/>
      <c r="AL132" s="22"/>
      <c r="AM132" s="22"/>
      <c r="AN132" s="22"/>
      <c r="AO132" s="22"/>
      <c r="AP132" s="22"/>
      <c r="AQ132" s="22"/>
      <c r="AR132" s="22"/>
      <c r="AS132" s="22"/>
    </row>
    <row r="133" spans="1:45" x14ac:dyDescent="0.3">
      <c r="A133" s="22"/>
      <c r="B133" s="71"/>
      <c r="C133" s="22"/>
      <c r="D133" s="23"/>
      <c r="E133" s="22"/>
      <c r="F133" s="22"/>
      <c r="G133" s="22"/>
      <c r="H133" s="23"/>
      <c r="I133" s="22"/>
      <c r="J133" s="22"/>
      <c r="K133" s="22"/>
      <c r="L133" s="23"/>
      <c r="M133" s="71"/>
      <c r="N133" s="71"/>
      <c r="O133" s="22"/>
      <c r="P133" s="22"/>
      <c r="Q133" s="22"/>
      <c r="R133" s="71"/>
      <c r="S133" s="71"/>
      <c r="T133" s="71"/>
      <c r="U133" s="71"/>
      <c r="V133" s="71"/>
      <c r="W133" s="71"/>
      <c r="X133" s="71"/>
      <c r="Y133" s="71"/>
      <c r="Z133" s="71"/>
      <c r="AA133" s="71"/>
      <c r="AB133" s="71"/>
      <c r="AC133" s="22"/>
      <c r="AD133" s="22"/>
      <c r="AE133" s="22"/>
      <c r="AF133" s="22"/>
      <c r="AG133" s="22"/>
      <c r="AH133" s="22"/>
      <c r="AI133" s="22"/>
      <c r="AJ133" s="22"/>
      <c r="AK133" s="22"/>
      <c r="AL133" s="22"/>
      <c r="AM133" s="22"/>
      <c r="AN133" s="22"/>
      <c r="AO133" s="22"/>
      <c r="AP133" s="22"/>
      <c r="AQ133" s="22"/>
      <c r="AR133" s="22"/>
      <c r="AS133" s="22"/>
    </row>
    <row r="134" spans="1:45" x14ac:dyDescent="0.3">
      <c r="A134" s="22"/>
      <c r="B134" s="71"/>
      <c r="C134" s="22"/>
      <c r="D134" s="23"/>
      <c r="E134" s="22"/>
      <c r="F134" s="22"/>
      <c r="G134" s="22"/>
      <c r="H134" s="23"/>
      <c r="I134" s="22"/>
      <c r="J134" s="22"/>
      <c r="K134" s="22"/>
      <c r="L134" s="23"/>
      <c r="M134" s="71"/>
      <c r="N134" s="71"/>
      <c r="O134" s="22"/>
      <c r="P134" s="22"/>
      <c r="Q134" s="22"/>
      <c r="R134" s="71"/>
      <c r="S134" s="71"/>
      <c r="T134" s="71"/>
      <c r="U134" s="71"/>
      <c r="V134" s="71"/>
      <c r="W134" s="71"/>
      <c r="X134" s="71"/>
      <c r="Y134" s="71"/>
      <c r="Z134" s="71"/>
      <c r="AA134" s="71"/>
      <c r="AB134" s="71"/>
      <c r="AC134" s="22"/>
      <c r="AD134" s="22"/>
      <c r="AE134" s="22"/>
      <c r="AF134" s="22"/>
      <c r="AG134" s="22"/>
      <c r="AH134" s="22"/>
      <c r="AI134" s="22"/>
      <c r="AJ134" s="22"/>
      <c r="AK134" s="22"/>
      <c r="AL134" s="22"/>
      <c r="AM134" s="22"/>
      <c r="AN134" s="22"/>
      <c r="AO134" s="22"/>
      <c r="AP134" s="22"/>
      <c r="AQ134" s="22"/>
      <c r="AR134" s="22"/>
      <c r="AS134" s="22"/>
    </row>
    <row r="135" spans="1:45" x14ac:dyDescent="0.3">
      <c r="A135" s="22"/>
      <c r="B135" s="71"/>
      <c r="C135" s="22"/>
      <c r="D135" s="23"/>
      <c r="E135" s="22"/>
      <c r="F135" s="22"/>
      <c r="G135" s="22"/>
      <c r="H135" s="23"/>
      <c r="I135" s="22"/>
      <c r="J135" s="22"/>
      <c r="K135" s="22"/>
      <c r="L135" s="23"/>
      <c r="M135" s="71"/>
      <c r="N135" s="71"/>
      <c r="O135" s="22"/>
      <c r="P135" s="22"/>
      <c r="Q135" s="22"/>
      <c r="R135" s="71"/>
      <c r="S135" s="71"/>
      <c r="T135" s="71"/>
      <c r="U135" s="71"/>
      <c r="V135" s="71"/>
      <c r="W135" s="71"/>
      <c r="X135" s="71"/>
      <c r="Y135" s="71"/>
      <c r="Z135" s="71"/>
      <c r="AA135" s="71"/>
      <c r="AB135" s="71"/>
      <c r="AC135" s="22"/>
      <c r="AD135" s="22"/>
      <c r="AE135" s="22"/>
      <c r="AF135" s="22"/>
      <c r="AG135" s="22"/>
      <c r="AH135" s="22"/>
      <c r="AI135" s="22"/>
      <c r="AJ135" s="22"/>
      <c r="AK135" s="22"/>
      <c r="AL135" s="22"/>
      <c r="AM135" s="22"/>
      <c r="AN135" s="22"/>
      <c r="AO135" s="22"/>
      <c r="AP135" s="22"/>
      <c r="AQ135" s="22"/>
      <c r="AR135" s="22"/>
      <c r="AS135" s="22"/>
    </row>
    <row r="136" spans="1:45" x14ac:dyDescent="0.3">
      <c r="A136" s="22"/>
      <c r="B136" s="71"/>
      <c r="C136" s="22"/>
      <c r="D136" s="23"/>
      <c r="E136" s="22"/>
      <c r="F136" s="22"/>
      <c r="G136" s="22"/>
      <c r="H136" s="23"/>
      <c r="I136" s="22"/>
      <c r="J136" s="22"/>
      <c r="K136" s="22"/>
      <c r="L136" s="23"/>
      <c r="M136" s="71"/>
      <c r="N136" s="71"/>
      <c r="O136" s="22"/>
      <c r="P136" s="22"/>
      <c r="Q136" s="22"/>
      <c r="R136" s="71"/>
      <c r="S136" s="71"/>
      <c r="T136" s="71"/>
      <c r="U136" s="71"/>
      <c r="V136" s="71"/>
      <c r="W136" s="71"/>
      <c r="X136" s="71"/>
      <c r="Y136" s="71"/>
      <c r="Z136" s="71"/>
      <c r="AA136" s="71"/>
      <c r="AB136" s="71"/>
      <c r="AC136" s="22"/>
      <c r="AD136" s="22"/>
      <c r="AE136" s="22"/>
      <c r="AF136" s="22"/>
      <c r="AG136" s="22"/>
      <c r="AH136" s="22"/>
      <c r="AI136" s="22"/>
      <c r="AJ136" s="22"/>
      <c r="AK136" s="22"/>
      <c r="AL136" s="22"/>
      <c r="AM136" s="22"/>
      <c r="AN136" s="22"/>
      <c r="AO136" s="22"/>
      <c r="AP136" s="22"/>
      <c r="AQ136" s="22"/>
      <c r="AR136" s="22"/>
      <c r="AS136" s="22"/>
    </row>
    <row r="137" spans="1:45" x14ac:dyDescent="0.3">
      <c r="A137" s="22"/>
      <c r="B137" s="71"/>
      <c r="C137" s="22"/>
      <c r="D137" s="23"/>
      <c r="E137" s="22"/>
      <c r="F137" s="22"/>
      <c r="G137" s="22"/>
      <c r="H137" s="23"/>
      <c r="I137" s="22"/>
      <c r="J137" s="22"/>
      <c r="K137" s="22"/>
      <c r="L137" s="23"/>
      <c r="M137" s="71"/>
      <c r="N137" s="71"/>
      <c r="O137" s="22"/>
      <c r="P137" s="22"/>
      <c r="Q137" s="22"/>
      <c r="R137" s="71"/>
      <c r="S137" s="71"/>
      <c r="T137" s="71"/>
      <c r="U137" s="71"/>
      <c r="V137" s="71"/>
      <c r="W137" s="71"/>
      <c r="X137" s="71"/>
      <c r="Y137" s="71"/>
      <c r="Z137" s="71"/>
      <c r="AA137" s="71"/>
      <c r="AB137" s="71"/>
      <c r="AC137" s="22"/>
      <c r="AD137" s="22"/>
      <c r="AE137" s="22"/>
      <c r="AF137" s="22"/>
      <c r="AG137" s="22"/>
      <c r="AH137" s="22"/>
      <c r="AI137" s="22"/>
      <c r="AJ137" s="22"/>
      <c r="AK137" s="22"/>
      <c r="AL137" s="22"/>
      <c r="AM137" s="22"/>
      <c r="AN137" s="22"/>
      <c r="AO137" s="22"/>
      <c r="AP137" s="22"/>
      <c r="AQ137" s="22"/>
      <c r="AR137" s="22"/>
      <c r="AS137" s="22"/>
    </row>
    <row r="138" spans="1:45" x14ac:dyDescent="0.3">
      <c r="A138" s="22"/>
      <c r="B138" s="71"/>
      <c r="C138" s="22"/>
      <c r="D138" s="23"/>
      <c r="E138" s="22"/>
      <c r="F138" s="22"/>
      <c r="G138" s="22"/>
      <c r="H138" s="23"/>
      <c r="I138" s="22"/>
      <c r="J138" s="22"/>
      <c r="K138" s="22"/>
      <c r="L138" s="23"/>
      <c r="M138" s="71"/>
      <c r="N138" s="71"/>
      <c r="O138" s="22"/>
      <c r="P138" s="22"/>
      <c r="Q138" s="22"/>
      <c r="R138" s="71"/>
      <c r="S138" s="71"/>
      <c r="T138" s="71"/>
      <c r="U138" s="71"/>
      <c r="V138" s="71"/>
      <c r="W138" s="71"/>
      <c r="X138" s="71"/>
      <c r="Y138" s="71"/>
      <c r="Z138" s="71"/>
      <c r="AA138" s="71"/>
      <c r="AB138" s="71"/>
      <c r="AC138" s="22"/>
      <c r="AD138" s="22"/>
      <c r="AE138" s="22"/>
      <c r="AF138" s="22"/>
      <c r="AG138" s="22"/>
      <c r="AH138" s="22"/>
      <c r="AI138" s="22"/>
      <c r="AJ138" s="22"/>
      <c r="AK138" s="22"/>
      <c r="AL138" s="22"/>
      <c r="AM138" s="22"/>
      <c r="AN138" s="22"/>
      <c r="AO138" s="22"/>
      <c r="AP138" s="22"/>
      <c r="AQ138" s="22"/>
      <c r="AR138" s="22"/>
      <c r="AS138" s="22"/>
    </row>
    <row r="139" spans="1:45" x14ac:dyDescent="0.3">
      <c r="A139" s="22"/>
      <c r="B139" s="71"/>
      <c r="C139" s="22"/>
      <c r="D139" s="23"/>
      <c r="E139" s="22"/>
      <c r="F139" s="22"/>
      <c r="G139" s="22"/>
      <c r="H139" s="23"/>
      <c r="I139" s="22"/>
      <c r="J139" s="22"/>
      <c r="K139" s="22"/>
      <c r="L139" s="23"/>
      <c r="M139" s="71"/>
      <c r="N139" s="71"/>
      <c r="O139" s="22"/>
      <c r="P139" s="22"/>
      <c r="Q139" s="22"/>
      <c r="R139" s="71"/>
      <c r="S139" s="71"/>
      <c r="T139" s="71"/>
      <c r="U139" s="71"/>
      <c r="V139" s="71"/>
      <c r="W139" s="71"/>
      <c r="X139" s="71"/>
      <c r="Y139" s="71"/>
      <c r="Z139" s="71"/>
      <c r="AA139" s="71"/>
      <c r="AB139" s="71"/>
      <c r="AC139" s="22"/>
      <c r="AD139" s="22"/>
      <c r="AE139" s="22"/>
      <c r="AF139" s="22"/>
      <c r="AG139" s="22"/>
      <c r="AH139" s="22"/>
      <c r="AI139" s="22"/>
      <c r="AJ139" s="22"/>
      <c r="AK139" s="22"/>
      <c r="AL139" s="22"/>
      <c r="AM139" s="22"/>
      <c r="AN139" s="22"/>
      <c r="AO139" s="22"/>
      <c r="AP139" s="22"/>
      <c r="AQ139" s="22"/>
      <c r="AR139" s="22"/>
      <c r="AS139" s="22"/>
    </row>
    <row r="140" spans="1:45" x14ac:dyDescent="0.3">
      <c r="A140" s="22"/>
      <c r="B140" s="71"/>
      <c r="C140" s="22"/>
      <c r="D140" s="23"/>
      <c r="E140" s="22"/>
      <c r="F140" s="22"/>
      <c r="G140" s="22"/>
      <c r="H140" s="23"/>
      <c r="I140" s="22"/>
      <c r="J140" s="22"/>
      <c r="K140" s="22"/>
      <c r="L140" s="23"/>
      <c r="M140" s="71"/>
      <c r="N140" s="71"/>
      <c r="O140" s="22"/>
      <c r="P140" s="22"/>
      <c r="Q140" s="22"/>
      <c r="R140" s="71"/>
      <c r="S140" s="71"/>
      <c r="T140" s="71"/>
      <c r="U140" s="71"/>
      <c r="V140" s="71"/>
      <c r="W140" s="71"/>
      <c r="X140" s="71"/>
      <c r="Y140" s="71"/>
      <c r="Z140" s="71"/>
      <c r="AA140" s="71"/>
      <c r="AB140" s="71"/>
      <c r="AC140" s="22"/>
      <c r="AD140" s="22"/>
      <c r="AE140" s="22"/>
      <c r="AF140" s="22"/>
      <c r="AG140" s="22"/>
      <c r="AH140" s="22"/>
      <c r="AI140" s="22"/>
      <c r="AJ140" s="22"/>
      <c r="AK140" s="22"/>
      <c r="AL140" s="22"/>
      <c r="AM140" s="22"/>
      <c r="AN140" s="22"/>
      <c r="AO140" s="22"/>
      <c r="AP140" s="22"/>
      <c r="AQ140" s="22"/>
      <c r="AR140" s="22"/>
      <c r="AS140" s="22"/>
    </row>
    <row r="141" spans="1:45" x14ac:dyDescent="0.3">
      <c r="A141" s="22"/>
      <c r="B141" s="71"/>
      <c r="C141" s="22"/>
      <c r="D141" s="23"/>
      <c r="E141" s="22"/>
      <c r="F141" s="22"/>
      <c r="G141" s="22"/>
      <c r="H141" s="23"/>
      <c r="I141" s="22"/>
      <c r="J141" s="22"/>
      <c r="K141" s="22"/>
      <c r="L141" s="23"/>
      <c r="M141" s="71"/>
      <c r="N141" s="71"/>
      <c r="O141" s="22"/>
      <c r="P141" s="22"/>
      <c r="Q141" s="22"/>
      <c r="R141" s="71"/>
      <c r="S141" s="71"/>
      <c r="T141" s="71"/>
      <c r="U141" s="71"/>
      <c r="V141" s="71"/>
      <c r="W141" s="71"/>
      <c r="X141" s="71"/>
      <c r="Y141" s="71"/>
      <c r="Z141" s="71"/>
      <c r="AA141" s="71"/>
      <c r="AB141" s="71"/>
      <c r="AC141" s="22"/>
      <c r="AD141" s="22"/>
      <c r="AE141" s="22"/>
      <c r="AF141" s="22"/>
      <c r="AG141" s="22"/>
      <c r="AH141" s="22"/>
      <c r="AI141" s="22"/>
      <c r="AJ141" s="22"/>
      <c r="AK141" s="22"/>
      <c r="AL141" s="22"/>
      <c r="AM141" s="22"/>
      <c r="AN141" s="22"/>
      <c r="AO141" s="22"/>
      <c r="AP141" s="22"/>
      <c r="AQ141" s="22"/>
      <c r="AR141" s="22"/>
      <c r="AS141" s="22"/>
    </row>
    <row r="142" spans="1:45" x14ac:dyDescent="0.3">
      <c r="A142" s="22"/>
      <c r="B142" s="71"/>
      <c r="C142" s="22"/>
      <c r="D142" s="23"/>
      <c r="E142" s="22"/>
      <c r="F142" s="22"/>
      <c r="G142" s="22"/>
      <c r="H142" s="23"/>
      <c r="I142" s="22"/>
      <c r="J142" s="22"/>
      <c r="K142" s="22"/>
      <c r="L142" s="23"/>
      <c r="M142" s="71"/>
      <c r="N142" s="71"/>
      <c r="O142" s="22"/>
      <c r="P142" s="22"/>
      <c r="Q142" s="22"/>
      <c r="R142" s="71"/>
      <c r="S142" s="71"/>
      <c r="T142" s="71"/>
      <c r="U142" s="71"/>
      <c r="V142" s="71"/>
      <c r="W142" s="71"/>
      <c r="X142" s="71"/>
      <c r="Y142" s="71"/>
      <c r="Z142" s="71"/>
      <c r="AA142" s="71"/>
      <c r="AB142" s="71"/>
      <c r="AC142" s="22"/>
      <c r="AD142" s="22"/>
      <c r="AE142" s="22"/>
      <c r="AF142" s="22"/>
      <c r="AG142" s="22"/>
      <c r="AH142" s="22"/>
      <c r="AI142" s="22"/>
      <c r="AJ142" s="22"/>
      <c r="AK142" s="22"/>
      <c r="AL142" s="22"/>
      <c r="AM142" s="22"/>
      <c r="AN142" s="22"/>
      <c r="AO142" s="22"/>
      <c r="AP142" s="22"/>
      <c r="AQ142" s="22"/>
      <c r="AR142" s="22"/>
      <c r="AS142" s="22"/>
    </row>
    <row r="143" spans="1:45" x14ac:dyDescent="0.3">
      <c r="A143" s="22"/>
      <c r="B143" s="71"/>
      <c r="C143" s="22"/>
      <c r="D143" s="23"/>
      <c r="E143" s="22"/>
      <c r="F143" s="22"/>
      <c r="G143" s="22"/>
      <c r="H143" s="23"/>
      <c r="I143" s="22"/>
      <c r="J143" s="22"/>
      <c r="K143" s="22"/>
      <c r="L143" s="23"/>
      <c r="M143" s="71"/>
      <c r="N143" s="71"/>
      <c r="O143" s="22"/>
      <c r="P143" s="22"/>
      <c r="Q143" s="22"/>
      <c r="R143" s="71"/>
      <c r="AC143" s="22"/>
      <c r="AD143" s="22"/>
      <c r="AE143" s="22"/>
      <c r="AF143" s="22"/>
      <c r="AG143" s="22"/>
      <c r="AH143" s="22"/>
      <c r="AI143" s="22"/>
      <c r="AJ143" s="22"/>
      <c r="AK143" s="22"/>
      <c r="AL143" s="22"/>
      <c r="AM143" s="22"/>
      <c r="AN143" s="22"/>
      <c r="AO143" s="22"/>
      <c r="AP143" s="22"/>
      <c r="AQ143" s="22"/>
      <c r="AR143" s="22"/>
      <c r="AS143" s="22"/>
    </row>
    <row r="144" spans="1:45" x14ac:dyDescent="0.3">
      <c r="A144" s="22"/>
      <c r="B144" s="71"/>
      <c r="C144" s="22"/>
      <c r="D144" s="23"/>
      <c r="E144" s="22"/>
      <c r="F144" s="22"/>
      <c r="G144" s="22"/>
      <c r="H144" s="23"/>
      <c r="I144" s="22"/>
      <c r="J144" s="22"/>
      <c r="K144" s="22"/>
      <c r="L144" s="23"/>
      <c r="M144" s="71"/>
      <c r="N144" s="71"/>
      <c r="O144" s="22"/>
      <c r="P144" s="22"/>
      <c r="Q144" s="22"/>
      <c r="R144" s="71"/>
      <c r="AC144" s="22"/>
      <c r="AD144" s="22"/>
      <c r="AE144" s="22"/>
      <c r="AF144" s="22"/>
      <c r="AG144" s="22"/>
      <c r="AH144" s="22"/>
      <c r="AI144" s="22"/>
      <c r="AJ144" s="22"/>
      <c r="AK144" s="22"/>
      <c r="AL144" s="22"/>
      <c r="AM144" s="22"/>
      <c r="AN144" s="22"/>
      <c r="AO144" s="22"/>
      <c r="AP144" s="22"/>
      <c r="AQ144" s="22"/>
      <c r="AR144" s="22"/>
      <c r="AS144" s="22"/>
    </row>
    <row r="145" spans="1:45" x14ac:dyDescent="0.3">
      <c r="A145" s="22"/>
      <c r="B145" s="71"/>
      <c r="C145" s="22"/>
      <c r="D145" s="23"/>
      <c r="E145" s="22"/>
      <c r="F145" s="22"/>
      <c r="G145" s="22"/>
      <c r="H145" s="23"/>
      <c r="I145" s="22"/>
      <c r="J145" s="22"/>
      <c r="K145" s="22"/>
      <c r="L145" s="23"/>
      <c r="M145" s="71"/>
      <c r="N145" s="71"/>
      <c r="O145" s="22"/>
      <c r="P145" s="22"/>
      <c r="Q145" s="22"/>
      <c r="R145" s="71"/>
      <c r="AC145" s="22"/>
      <c r="AD145" s="22"/>
      <c r="AE145" s="22"/>
      <c r="AF145" s="22"/>
      <c r="AG145" s="22"/>
      <c r="AH145" s="22"/>
      <c r="AI145" s="22"/>
      <c r="AJ145" s="22"/>
      <c r="AK145" s="22"/>
      <c r="AL145" s="22"/>
      <c r="AM145" s="22"/>
      <c r="AN145" s="22"/>
      <c r="AO145" s="22"/>
      <c r="AP145" s="22"/>
      <c r="AQ145" s="22"/>
      <c r="AR145" s="22"/>
      <c r="AS145" s="22"/>
    </row>
    <row r="146" spans="1:45" x14ac:dyDescent="0.3">
      <c r="A146" s="22"/>
      <c r="B146" s="71"/>
      <c r="C146" s="22"/>
      <c r="D146" s="23"/>
      <c r="E146" s="22"/>
      <c r="F146" s="22"/>
      <c r="G146" s="22"/>
      <c r="H146" s="23"/>
      <c r="I146" s="22"/>
      <c r="J146" s="22"/>
      <c r="K146" s="22"/>
      <c r="L146" s="23"/>
      <c r="M146" s="71"/>
      <c r="N146" s="71"/>
      <c r="O146" s="22"/>
      <c r="P146" s="22"/>
      <c r="Q146" s="22"/>
      <c r="R146" s="71"/>
      <c r="AC146" s="22"/>
      <c r="AD146" s="22"/>
      <c r="AE146" s="22"/>
      <c r="AF146" s="22"/>
      <c r="AG146" s="22"/>
      <c r="AH146" s="22"/>
      <c r="AI146" s="22"/>
      <c r="AJ146" s="22"/>
      <c r="AK146" s="22"/>
      <c r="AL146" s="22"/>
      <c r="AM146" s="22"/>
      <c r="AN146" s="22"/>
      <c r="AO146" s="22"/>
      <c r="AP146" s="22"/>
      <c r="AQ146" s="22"/>
      <c r="AR146" s="22"/>
      <c r="AS146" s="22"/>
    </row>
    <row r="147" spans="1:45" x14ac:dyDescent="0.3">
      <c r="A147" s="22"/>
      <c r="B147" s="71"/>
      <c r="C147" s="22"/>
      <c r="D147" s="23"/>
      <c r="E147" s="22"/>
      <c r="F147" s="22"/>
      <c r="G147" s="22"/>
      <c r="H147" s="23"/>
      <c r="I147" s="22"/>
      <c r="J147" s="22"/>
      <c r="K147" s="22"/>
      <c r="L147" s="23"/>
      <c r="M147" s="71"/>
      <c r="N147" s="71"/>
      <c r="O147" s="22"/>
      <c r="P147" s="22"/>
      <c r="Q147" s="22"/>
      <c r="R147" s="71"/>
      <c r="AC147" s="22"/>
      <c r="AD147" s="22"/>
      <c r="AE147" s="22"/>
      <c r="AF147" s="22"/>
      <c r="AG147" s="22"/>
      <c r="AH147" s="22"/>
      <c r="AI147" s="22"/>
      <c r="AJ147" s="22"/>
      <c r="AK147" s="22"/>
      <c r="AL147" s="22"/>
      <c r="AM147" s="22"/>
      <c r="AN147" s="22"/>
      <c r="AO147" s="22"/>
      <c r="AP147" s="22"/>
      <c r="AQ147" s="22"/>
      <c r="AR147" s="22"/>
      <c r="AS147" s="22"/>
    </row>
    <row r="148" spans="1:45" x14ac:dyDescent="0.3">
      <c r="A148" s="22"/>
      <c r="B148" s="71"/>
      <c r="C148" s="22"/>
      <c r="D148" s="23"/>
      <c r="E148" s="22"/>
      <c r="F148" s="22"/>
      <c r="G148" s="22"/>
      <c r="H148" s="23"/>
      <c r="I148" s="22"/>
      <c r="J148" s="22"/>
      <c r="K148" s="22"/>
      <c r="L148" s="23"/>
      <c r="M148" s="71"/>
      <c r="N148" s="71"/>
      <c r="O148" s="22"/>
      <c r="P148" s="22"/>
      <c r="Q148" s="22"/>
      <c r="R148" s="71"/>
      <c r="AC148" s="22"/>
      <c r="AD148" s="22"/>
      <c r="AE148" s="22"/>
      <c r="AF148" s="22"/>
      <c r="AG148" s="22"/>
      <c r="AH148" s="22"/>
      <c r="AI148" s="22"/>
      <c r="AJ148" s="22"/>
      <c r="AK148" s="22"/>
      <c r="AL148" s="22"/>
      <c r="AM148" s="22"/>
      <c r="AN148" s="22"/>
      <c r="AO148" s="22"/>
      <c r="AP148" s="22"/>
      <c r="AQ148" s="22"/>
      <c r="AR148" s="22"/>
      <c r="AS148" s="22"/>
    </row>
    <row r="149" spans="1:45" x14ac:dyDescent="0.3">
      <c r="A149" s="22"/>
      <c r="B149" s="71"/>
      <c r="C149" s="22"/>
      <c r="D149" s="23"/>
      <c r="E149" s="22"/>
      <c r="F149" s="22"/>
      <c r="G149" s="22"/>
      <c r="H149" s="23"/>
      <c r="I149" s="22"/>
      <c r="J149" s="22"/>
      <c r="K149" s="22"/>
      <c r="L149" s="23"/>
      <c r="M149" s="71"/>
      <c r="N149" s="71"/>
      <c r="O149" s="22"/>
      <c r="P149" s="22"/>
      <c r="Q149" s="22"/>
      <c r="R149" s="71"/>
      <c r="AC149" s="22"/>
      <c r="AD149" s="22"/>
      <c r="AE149" s="22"/>
      <c r="AF149" s="22"/>
      <c r="AG149" s="22"/>
      <c r="AH149" s="22"/>
      <c r="AI149" s="22"/>
      <c r="AJ149" s="22"/>
      <c r="AK149" s="22"/>
      <c r="AL149" s="22"/>
      <c r="AM149" s="22"/>
      <c r="AN149" s="22"/>
      <c r="AO149" s="22"/>
      <c r="AP149" s="22"/>
      <c r="AQ149" s="22"/>
      <c r="AR149" s="22"/>
      <c r="AS149" s="22"/>
    </row>
    <row r="150" spans="1:45" x14ac:dyDescent="0.3">
      <c r="A150" s="22"/>
      <c r="B150" s="71"/>
      <c r="C150" s="22"/>
      <c r="D150" s="23"/>
      <c r="E150" s="22"/>
      <c r="F150" s="22"/>
      <c r="G150" s="22"/>
      <c r="H150" s="23"/>
      <c r="I150" s="22"/>
      <c r="J150" s="22"/>
      <c r="K150" s="22"/>
      <c r="L150" s="23"/>
      <c r="M150" s="71"/>
      <c r="N150" s="71"/>
      <c r="O150" s="22"/>
      <c r="P150" s="22"/>
      <c r="Q150" s="22"/>
      <c r="R150" s="71"/>
      <c r="AC150" s="22"/>
      <c r="AD150" s="22"/>
      <c r="AE150" s="22"/>
      <c r="AF150" s="22"/>
      <c r="AG150" s="22"/>
      <c r="AH150" s="22"/>
      <c r="AI150" s="22"/>
      <c r="AJ150" s="22"/>
      <c r="AK150" s="22"/>
      <c r="AL150" s="22"/>
      <c r="AM150" s="22"/>
      <c r="AN150" s="22"/>
      <c r="AO150" s="22"/>
      <c r="AP150" s="22"/>
      <c r="AQ150" s="22"/>
      <c r="AR150" s="22"/>
      <c r="AS150" s="22"/>
    </row>
    <row r="151" spans="1:45" x14ac:dyDescent="0.3">
      <c r="A151" s="22"/>
      <c r="B151" s="71"/>
      <c r="C151" s="22"/>
      <c r="D151" s="23"/>
      <c r="E151" s="22"/>
      <c r="F151" s="22"/>
      <c r="G151" s="22"/>
      <c r="H151" s="23"/>
      <c r="I151" s="22"/>
      <c r="J151" s="22"/>
      <c r="K151" s="22"/>
      <c r="L151" s="23"/>
      <c r="M151" s="71"/>
      <c r="N151" s="71"/>
      <c r="O151" s="22"/>
      <c r="P151" s="22"/>
      <c r="Q151" s="22"/>
      <c r="R151" s="71"/>
      <c r="AC151" s="22"/>
      <c r="AD151" s="22"/>
      <c r="AE151" s="22"/>
      <c r="AF151" s="22"/>
      <c r="AG151" s="22"/>
      <c r="AH151" s="22"/>
      <c r="AI151" s="22"/>
      <c r="AJ151" s="22"/>
      <c r="AK151" s="22"/>
      <c r="AL151" s="22"/>
      <c r="AM151" s="22"/>
      <c r="AN151" s="22"/>
      <c r="AO151" s="22"/>
      <c r="AP151" s="22"/>
      <c r="AQ151" s="22"/>
      <c r="AR151" s="22"/>
      <c r="AS151" s="22"/>
    </row>
    <row r="152" spans="1:45" x14ac:dyDescent="0.3">
      <c r="A152" s="22"/>
      <c r="B152" s="71"/>
      <c r="C152" s="22"/>
      <c r="D152" s="23"/>
      <c r="E152" s="22"/>
      <c r="F152" s="22"/>
      <c r="G152" s="22"/>
      <c r="H152" s="23"/>
      <c r="I152" s="22"/>
      <c r="J152" s="22"/>
      <c r="K152" s="22"/>
      <c r="L152" s="23"/>
      <c r="M152" s="71"/>
      <c r="N152" s="71"/>
      <c r="O152" s="22"/>
      <c r="P152" s="22"/>
      <c r="Q152" s="22"/>
      <c r="R152" s="71"/>
      <c r="AC152" s="22"/>
      <c r="AD152" s="22"/>
      <c r="AE152" s="22"/>
      <c r="AF152" s="22"/>
      <c r="AG152" s="22"/>
      <c r="AH152" s="22"/>
      <c r="AI152" s="22"/>
      <c r="AJ152" s="22"/>
      <c r="AK152" s="22"/>
      <c r="AL152" s="22"/>
      <c r="AM152" s="22"/>
      <c r="AN152" s="22"/>
      <c r="AO152" s="22"/>
      <c r="AP152" s="22"/>
      <c r="AQ152" s="22"/>
      <c r="AR152" s="22"/>
      <c r="AS152" s="22"/>
    </row>
    <row r="153" spans="1:45" x14ac:dyDescent="0.3">
      <c r="A153" s="22"/>
      <c r="B153" s="71"/>
      <c r="C153" s="22"/>
      <c r="D153" s="23"/>
      <c r="E153" s="22"/>
      <c r="F153" s="22"/>
      <c r="G153" s="22"/>
      <c r="H153" s="23"/>
      <c r="I153" s="22"/>
      <c r="J153" s="22"/>
      <c r="K153" s="22"/>
      <c r="L153" s="23"/>
      <c r="M153" s="71"/>
      <c r="N153" s="71"/>
      <c r="O153" s="22"/>
      <c r="P153" s="22"/>
      <c r="Q153" s="22"/>
      <c r="R153" s="71"/>
      <c r="AC153" s="22"/>
      <c r="AD153" s="22"/>
      <c r="AE153" s="22"/>
      <c r="AF153" s="22"/>
      <c r="AG153" s="22"/>
      <c r="AH153" s="22"/>
      <c r="AI153" s="22"/>
      <c r="AJ153" s="22"/>
      <c r="AK153" s="22"/>
      <c r="AL153" s="22"/>
      <c r="AM153" s="22"/>
      <c r="AN153" s="22"/>
      <c r="AO153" s="22"/>
      <c r="AP153" s="22"/>
      <c r="AQ153" s="22"/>
      <c r="AR153" s="22"/>
      <c r="AS153" s="22"/>
    </row>
    <row r="154" spans="1:45" x14ac:dyDescent="0.3">
      <c r="A154" s="22"/>
      <c r="B154" s="71"/>
      <c r="C154" s="22"/>
      <c r="D154" s="23"/>
      <c r="E154" s="22"/>
      <c r="F154" s="22"/>
      <c r="G154" s="22"/>
      <c r="H154" s="23"/>
      <c r="I154" s="22"/>
      <c r="J154" s="22"/>
      <c r="K154" s="22"/>
      <c r="L154" s="23"/>
      <c r="M154" s="71"/>
      <c r="N154" s="71"/>
      <c r="O154" s="22"/>
      <c r="P154" s="22"/>
      <c r="Q154" s="22"/>
      <c r="R154" s="71"/>
      <c r="AC154" s="22"/>
      <c r="AD154" s="22"/>
      <c r="AE154" s="22"/>
      <c r="AF154" s="22"/>
      <c r="AG154" s="22"/>
      <c r="AH154" s="22"/>
      <c r="AI154" s="22"/>
      <c r="AJ154" s="22"/>
      <c r="AK154" s="22"/>
      <c r="AL154" s="22"/>
      <c r="AM154" s="22"/>
      <c r="AN154" s="22"/>
      <c r="AO154" s="22"/>
      <c r="AP154" s="22"/>
      <c r="AQ154" s="22"/>
      <c r="AR154" s="22"/>
      <c r="AS154" s="22"/>
    </row>
    <row r="155" spans="1:45" x14ac:dyDescent="0.3">
      <c r="A155" s="22"/>
      <c r="B155" s="71"/>
      <c r="C155" s="22"/>
      <c r="D155" s="23"/>
      <c r="E155" s="22"/>
      <c r="F155" s="22"/>
      <c r="G155" s="22"/>
      <c r="H155" s="23"/>
      <c r="I155" s="22"/>
      <c r="J155" s="22"/>
      <c r="K155" s="22"/>
      <c r="L155" s="23"/>
      <c r="M155" s="71"/>
      <c r="N155" s="71"/>
      <c r="O155" s="22"/>
      <c r="P155" s="22"/>
      <c r="Q155" s="22"/>
      <c r="R155" s="71"/>
      <c r="AC155" s="22"/>
      <c r="AD155" s="22"/>
      <c r="AE155" s="22"/>
      <c r="AF155" s="22"/>
      <c r="AG155" s="22"/>
      <c r="AH155" s="22"/>
      <c r="AI155" s="22"/>
      <c r="AJ155" s="22"/>
      <c r="AK155" s="22"/>
      <c r="AL155" s="22"/>
      <c r="AM155" s="22"/>
      <c r="AN155" s="22"/>
      <c r="AO155" s="22"/>
      <c r="AP155" s="22"/>
      <c r="AQ155" s="22"/>
      <c r="AR155" s="22"/>
      <c r="AS155" s="22"/>
    </row>
    <row r="156" spans="1:45" x14ac:dyDescent="0.3">
      <c r="A156" s="22"/>
      <c r="B156" s="71"/>
      <c r="C156" s="22"/>
      <c r="D156" s="23"/>
      <c r="E156" s="22"/>
      <c r="F156" s="22"/>
      <c r="G156" s="22"/>
      <c r="H156" s="23"/>
      <c r="I156" s="22"/>
      <c r="J156" s="22"/>
      <c r="K156" s="22"/>
      <c r="L156" s="23"/>
      <c r="M156" s="71"/>
      <c r="N156" s="71"/>
      <c r="O156" s="22"/>
      <c r="P156" s="22"/>
      <c r="Q156" s="22"/>
      <c r="R156" s="71"/>
      <c r="AC156" s="22"/>
      <c r="AD156" s="22"/>
      <c r="AE156" s="22"/>
      <c r="AF156" s="22"/>
      <c r="AG156" s="22"/>
      <c r="AH156" s="22"/>
      <c r="AI156" s="22"/>
      <c r="AJ156" s="22"/>
      <c r="AK156" s="22"/>
      <c r="AL156" s="22"/>
      <c r="AM156" s="22"/>
      <c r="AN156" s="22"/>
      <c r="AO156" s="22"/>
      <c r="AP156" s="22"/>
      <c r="AQ156" s="22"/>
      <c r="AR156" s="22"/>
      <c r="AS156" s="22"/>
    </row>
    <row r="157" spans="1:45" x14ac:dyDescent="0.3">
      <c r="A157" s="22"/>
      <c r="B157" s="71"/>
      <c r="C157" s="22"/>
      <c r="D157" s="23"/>
      <c r="E157" s="22"/>
      <c r="F157" s="22"/>
      <c r="G157" s="22"/>
      <c r="H157" s="23"/>
      <c r="I157" s="22"/>
      <c r="J157" s="22"/>
      <c r="K157" s="22"/>
      <c r="L157" s="23"/>
      <c r="M157" s="71"/>
      <c r="N157" s="71"/>
      <c r="O157" s="22"/>
      <c r="P157" s="22"/>
      <c r="Q157" s="22"/>
      <c r="R157" s="71"/>
      <c r="AC157" s="22"/>
      <c r="AD157" s="22"/>
      <c r="AE157" s="22"/>
      <c r="AF157" s="22"/>
      <c r="AG157" s="22"/>
      <c r="AH157" s="22"/>
      <c r="AI157" s="22"/>
      <c r="AJ157" s="22"/>
      <c r="AK157" s="22"/>
      <c r="AL157" s="22"/>
      <c r="AM157" s="22"/>
      <c r="AN157" s="22"/>
      <c r="AO157" s="22"/>
      <c r="AP157" s="22"/>
      <c r="AQ157" s="22"/>
      <c r="AR157" s="22"/>
      <c r="AS157" s="22"/>
    </row>
    <row r="158" spans="1:45" x14ac:dyDescent="0.3">
      <c r="A158" s="22"/>
      <c r="B158" s="71"/>
      <c r="C158" s="22"/>
      <c r="D158" s="23"/>
      <c r="E158" s="22"/>
      <c r="F158" s="22"/>
      <c r="G158" s="22"/>
      <c r="H158" s="23"/>
      <c r="I158" s="22"/>
      <c r="J158" s="22"/>
      <c r="K158" s="22"/>
      <c r="L158" s="23"/>
      <c r="M158" s="71"/>
      <c r="N158" s="71"/>
      <c r="O158" s="22"/>
      <c r="P158" s="22"/>
      <c r="Q158" s="22"/>
      <c r="R158" s="71"/>
      <c r="AC158" s="22"/>
      <c r="AD158" s="22"/>
      <c r="AE158" s="22"/>
      <c r="AF158" s="22"/>
      <c r="AG158" s="22"/>
      <c r="AH158" s="22"/>
      <c r="AI158" s="22"/>
      <c r="AJ158" s="22"/>
      <c r="AK158" s="22"/>
      <c r="AL158" s="22"/>
      <c r="AM158" s="22"/>
      <c r="AN158" s="22"/>
      <c r="AO158" s="22"/>
      <c r="AP158" s="22"/>
      <c r="AQ158" s="22"/>
      <c r="AR158" s="22"/>
      <c r="AS158" s="22"/>
    </row>
    <row r="159" spans="1:45" x14ac:dyDescent="0.3">
      <c r="A159" s="22"/>
      <c r="B159" s="71"/>
      <c r="C159" s="22"/>
      <c r="D159" s="23"/>
      <c r="E159" s="22"/>
      <c r="F159" s="22"/>
      <c r="G159" s="22"/>
      <c r="H159" s="23"/>
      <c r="I159" s="22"/>
      <c r="J159" s="22"/>
      <c r="K159" s="22"/>
      <c r="L159" s="23"/>
      <c r="M159" s="71"/>
      <c r="N159" s="71"/>
      <c r="O159" s="22"/>
      <c r="P159" s="22"/>
      <c r="Q159" s="22"/>
      <c r="R159" s="71"/>
      <c r="AC159" s="22"/>
      <c r="AD159" s="22"/>
      <c r="AE159" s="22"/>
      <c r="AF159" s="22"/>
      <c r="AG159" s="22"/>
      <c r="AH159" s="22"/>
      <c r="AI159" s="22"/>
      <c r="AJ159" s="22"/>
      <c r="AK159" s="22"/>
      <c r="AL159" s="22"/>
      <c r="AM159" s="22"/>
      <c r="AN159" s="22"/>
      <c r="AO159" s="22"/>
      <c r="AP159" s="22"/>
      <c r="AQ159" s="22"/>
      <c r="AR159" s="22"/>
      <c r="AS159" s="22"/>
    </row>
    <row r="160" spans="1:45" x14ac:dyDescent="0.3">
      <c r="A160" s="22"/>
      <c r="B160" s="71"/>
      <c r="C160" s="22"/>
      <c r="D160" s="23"/>
      <c r="E160" s="22"/>
      <c r="F160" s="22"/>
      <c r="G160" s="22"/>
      <c r="H160" s="23"/>
      <c r="I160" s="22"/>
      <c r="J160" s="22"/>
      <c r="K160" s="22"/>
      <c r="L160" s="23"/>
      <c r="M160" s="71"/>
      <c r="N160" s="71"/>
      <c r="O160" s="22"/>
      <c r="P160" s="22"/>
      <c r="Q160" s="22"/>
      <c r="R160" s="71"/>
      <c r="AC160" s="22"/>
      <c r="AD160" s="22"/>
      <c r="AE160" s="22"/>
      <c r="AF160" s="22"/>
      <c r="AG160" s="22"/>
      <c r="AH160" s="22"/>
      <c r="AI160" s="22"/>
      <c r="AJ160" s="22"/>
      <c r="AK160" s="22"/>
      <c r="AL160" s="22"/>
      <c r="AM160" s="22"/>
      <c r="AN160" s="22"/>
      <c r="AO160" s="22"/>
      <c r="AP160" s="22"/>
      <c r="AQ160" s="22"/>
      <c r="AR160" s="22"/>
      <c r="AS160" s="22"/>
    </row>
    <row r="161" spans="1:45" x14ac:dyDescent="0.3">
      <c r="A161" s="22"/>
      <c r="B161" s="71"/>
      <c r="C161" s="22"/>
      <c r="D161" s="23"/>
      <c r="E161" s="22"/>
      <c r="F161" s="22"/>
      <c r="G161" s="22"/>
      <c r="H161" s="23"/>
      <c r="I161" s="22"/>
      <c r="J161" s="22"/>
      <c r="K161" s="22"/>
      <c r="L161" s="23"/>
      <c r="M161" s="71"/>
      <c r="N161" s="71"/>
      <c r="O161" s="22"/>
      <c r="P161" s="22"/>
      <c r="Q161" s="22"/>
      <c r="R161" s="71"/>
      <c r="AC161" s="22"/>
      <c r="AD161" s="22"/>
      <c r="AE161" s="22"/>
      <c r="AF161" s="22"/>
      <c r="AG161" s="22"/>
      <c r="AH161" s="22"/>
      <c r="AI161" s="22"/>
      <c r="AJ161" s="22"/>
      <c r="AK161" s="22"/>
      <c r="AL161" s="22"/>
      <c r="AM161" s="22"/>
      <c r="AN161" s="22"/>
      <c r="AO161" s="22"/>
      <c r="AP161" s="22"/>
      <c r="AQ161" s="22"/>
      <c r="AR161" s="22"/>
      <c r="AS161" s="22"/>
    </row>
    <row r="162" spans="1:45" x14ac:dyDescent="0.3">
      <c r="A162" s="22"/>
      <c r="B162" s="71"/>
      <c r="C162" s="22"/>
      <c r="D162" s="23"/>
      <c r="E162" s="22"/>
      <c r="F162" s="22"/>
      <c r="G162" s="22"/>
      <c r="H162" s="23"/>
      <c r="I162" s="22"/>
      <c r="J162" s="22"/>
      <c r="K162" s="22"/>
      <c r="L162" s="23"/>
      <c r="M162" s="71"/>
      <c r="N162" s="71"/>
      <c r="O162" s="22"/>
      <c r="P162" s="22"/>
      <c r="Q162" s="22"/>
      <c r="R162" s="71"/>
      <c r="AC162" s="22"/>
      <c r="AD162" s="22"/>
      <c r="AE162" s="22"/>
      <c r="AF162" s="22"/>
      <c r="AG162" s="22"/>
      <c r="AH162" s="22"/>
      <c r="AI162" s="22"/>
      <c r="AJ162" s="22"/>
      <c r="AK162" s="22"/>
      <c r="AL162" s="22"/>
      <c r="AM162" s="22"/>
      <c r="AN162" s="22"/>
      <c r="AO162" s="22"/>
      <c r="AP162" s="22"/>
      <c r="AQ162" s="22"/>
      <c r="AR162" s="22"/>
      <c r="AS162" s="22"/>
    </row>
    <row r="163" spans="1:45" x14ac:dyDescent="0.3">
      <c r="A163" s="22"/>
      <c r="B163" s="71"/>
      <c r="C163" s="22"/>
      <c r="D163" s="23"/>
      <c r="E163" s="22"/>
      <c r="F163" s="22"/>
      <c r="G163" s="22"/>
      <c r="H163" s="23"/>
      <c r="I163" s="22"/>
      <c r="J163" s="22"/>
      <c r="K163" s="22"/>
      <c r="L163" s="23"/>
      <c r="M163" s="71"/>
      <c r="N163" s="71"/>
      <c r="O163" s="22"/>
      <c r="P163" s="22"/>
      <c r="Q163" s="22"/>
      <c r="R163" s="71"/>
      <c r="AC163" s="22"/>
      <c r="AD163" s="22"/>
      <c r="AE163" s="22"/>
      <c r="AF163" s="22"/>
      <c r="AG163" s="22"/>
      <c r="AH163" s="22"/>
      <c r="AI163" s="22"/>
      <c r="AJ163" s="22"/>
      <c r="AK163" s="22"/>
      <c r="AL163" s="22"/>
      <c r="AM163" s="22"/>
      <c r="AN163" s="22"/>
      <c r="AO163" s="22"/>
      <c r="AP163" s="22"/>
      <c r="AQ163" s="22"/>
      <c r="AR163" s="22"/>
      <c r="AS163" s="22"/>
    </row>
    <row r="164" spans="1:45" x14ac:dyDescent="0.3">
      <c r="A164" s="22"/>
      <c r="B164" s="71"/>
      <c r="C164" s="22"/>
      <c r="D164" s="23"/>
      <c r="E164" s="22"/>
      <c r="F164" s="22"/>
      <c r="G164" s="22"/>
      <c r="H164" s="23"/>
      <c r="I164" s="22"/>
      <c r="J164" s="22"/>
      <c r="K164" s="22"/>
      <c r="L164" s="23"/>
      <c r="M164" s="71"/>
      <c r="N164" s="71"/>
      <c r="O164" s="22"/>
      <c r="P164" s="22"/>
      <c r="Q164" s="22"/>
      <c r="R164" s="71"/>
      <c r="AC164" s="22"/>
      <c r="AD164" s="22"/>
      <c r="AE164" s="22"/>
      <c r="AF164" s="22"/>
      <c r="AG164" s="22"/>
      <c r="AH164" s="22"/>
      <c r="AI164" s="22"/>
      <c r="AJ164" s="22"/>
      <c r="AK164" s="22"/>
      <c r="AL164" s="22"/>
      <c r="AM164" s="22"/>
      <c r="AN164" s="22"/>
      <c r="AO164" s="22"/>
      <c r="AP164" s="22"/>
      <c r="AQ164" s="22"/>
      <c r="AR164" s="22"/>
      <c r="AS164" s="22"/>
    </row>
    <row r="165" spans="1:45" x14ac:dyDescent="0.3">
      <c r="A165" s="22"/>
      <c r="B165" s="71"/>
      <c r="C165" s="22"/>
      <c r="D165" s="23"/>
      <c r="E165" s="22"/>
      <c r="F165" s="22"/>
      <c r="G165" s="22"/>
      <c r="H165" s="23"/>
      <c r="I165" s="22"/>
      <c r="J165" s="22"/>
      <c r="K165" s="22"/>
      <c r="L165" s="23"/>
      <c r="M165" s="71"/>
      <c r="N165" s="71"/>
      <c r="O165" s="22"/>
      <c r="P165" s="22"/>
      <c r="Q165" s="22"/>
      <c r="R165" s="71"/>
      <c r="AC165" s="22"/>
      <c r="AD165" s="22"/>
      <c r="AE165" s="22"/>
      <c r="AF165" s="22"/>
      <c r="AG165" s="22"/>
      <c r="AH165" s="22"/>
      <c r="AI165" s="22"/>
      <c r="AJ165" s="22"/>
      <c r="AK165" s="22"/>
      <c r="AL165" s="22"/>
      <c r="AM165" s="22"/>
      <c r="AN165" s="22"/>
      <c r="AO165" s="22"/>
      <c r="AP165" s="22"/>
      <c r="AQ165" s="22"/>
      <c r="AR165" s="22"/>
      <c r="AS165" s="22"/>
    </row>
    <row r="166" spans="1:45" x14ac:dyDescent="0.3">
      <c r="A166" s="22"/>
      <c r="B166" s="71"/>
      <c r="C166" s="22"/>
      <c r="D166" s="23"/>
      <c r="E166" s="22"/>
      <c r="F166" s="22"/>
      <c r="G166" s="22"/>
      <c r="H166" s="23"/>
      <c r="I166" s="22"/>
      <c r="J166" s="22"/>
      <c r="K166" s="22"/>
      <c r="L166" s="23"/>
      <c r="M166" s="71"/>
      <c r="N166" s="71"/>
      <c r="O166" s="22"/>
      <c r="P166" s="22"/>
      <c r="Q166" s="22"/>
      <c r="R166" s="71"/>
      <c r="AC166" s="22"/>
      <c r="AD166" s="22"/>
      <c r="AE166" s="22"/>
      <c r="AF166" s="22"/>
      <c r="AG166" s="22"/>
      <c r="AH166" s="22"/>
      <c r="AI166" s="22"/>
      <c r="AJ166" s="22"/>
      <c r="AK166" s="22"/>
      <c r="AL166" s="22"/>
      <c r="AM166" s="22"/>
      <c r="AN166" s="22"/>
      <c r="AO166" s="22"/>
      <c r="AP166" s="22"/>
      <c r="AQ166" s="22"/>
      <c r="AR166" s="22"/>
      <c r="AS166" s="22"/>
    </row>
    <row r="167" spans="1:45" x14ac:dyDescent="0.3">
      <c r="A167" s="22"/>
      <c r="B167" s="71"/>
      <c r="C167" s="22"/>
      <c r="D167" s="23"/>
      <c r="E167" s="22"/>
      <c r="F167" s="22"/>
      <c r="G167" s="22"/>
      <c r="H167" s="23"/>
      <c r="I167" s="22"/>
      <c r="J167" s="22"/>
      <c r="K167" s="22"/>
      <c r="L167" s="23"/>
      <c r="M167" s="71"/>
      <c r="N167" s="71"/>
      <c r="O167" s="22"/>
      <c r="P167" s="22"/>
      <c r="Q167" s="22"/>
      <c r="R167" s="71"/>
      <c r="AC167" s="22"/>
      <c r="AD167" s="22"/>
      <c r="AE167" s="22"/>
      <c r="AF167" s="22"/>
      <c r="AG167" s="22"/>
      <c r="AH167" s="22"/>
      <c r="AI167" s="22"/>
      <c r="AJ167" s="22"/>
      <c r="AK167" s="22"/>
      <c r="AL167" s="22"/>
      <c r="AM167" s="22"/>
      <c r="AN167" s="22"/>
      <c r="AO167" s="22"/>
      <c r="AP167" s="22"/>
      <c r="AQ167" s="22"/>
      <c r="AR167" s="22"/>
      <c r="AS167" s="22"/>
    </row>
    <row r="168" spans="1:45" x14ac:dyDescent="0.3">
      <c r="A168" s="22"/>
      <c r="B168" s="71"/>
      <c r="C168" s="22"/>
      <c r="D168" s="23"/>
      <c r="E168" s="22"/>
      <c r="F168" s="22"/>
      <c r="G168" s="22"/>
      <c r="H168" s="23"/>
      <c r="I168" s="22"/>
      <c r="J168" s="22"/>
      <c r="K168" s="22"/>
      <c r="L168" s="23"/>
      <c r="M168" s="71"/>
      <c r="N168" s="71"/>
      <c r="O168" s="22"/>
      <c r="P168" s="22"/>
      <c r="Q168" s="22"/>
      <c r="R168" s="71"/>
      <c r="AC168" s="22"/>
      <c r="AD168" s="22"/>
      <c r="AE168" s="22"/>
      <c r="AF168" s="22"/>
      <c r="AG168" s="22"/>
      <c r="AH168" s="22"/>
      <c r="AI168" s="22"/>
      <c r="AJ168" s="22"/>
      <c r="AK168" s="22"/>
      <c r="AL168" s="22"/>
      <c r="AM168" s="22"/>
      <c r="AN168" s="22"/>
      <c r="AO168" s="22"/>
      <c r="AP168" s="22"/>
      <c r="AQ168" s="22"/>
      <c r="AR168" s="22"/>
      <c r="AS168" s="22"/>
    </row>
    <row r="169" spans="1:45" x14ac:dyDescent="0.3">
      <c r="A169" s="22"/>
      <c r="B169" s="71"/>
      <c r="C169" s="22"/>
      <c r="D169" s="23"/>
      <c r="E169" s="22"/>
      <c r="F169" s="22"/>
      <c r="G169" s="22"/>
      <c r="H169" s="23"/>
      <c r="I169" s="22"/>
      <c r="J169" s="22"/>
      <c r="K169" s="22"/>
      <c r="L169" s="23"/>
      <c r="M169" s="71"/>
      <c r="N169" s="71"/>
      <c r="O169" s="22"/>
      <c r="P169" s="22"/>
      <c r="Q169" s="22"/>
      <c r="R169" s="71"/>
      <c r="AC169" s="22"/>
      <c r="AD169" s="22"/>
      <c r="AE169" s="22"/>
      <c r="AF169" s="22"/>
      <c r="AG169" s="22"/>
      <c r="AH169" s="22"/>
      <c r="AI169" s="22"/>
      <c r="AJ169" s="22"/>
      <c r="AK169" s="22"/>
      <c r="AL169" s="22"/>
      <c r="AM169" s="22"/>
      <c r="AN169" s="22"/>
      <c r="AO169" s="22"/>
      <c r="AP169" s="22"/>
      <c r="AQ169" s="22"/>
      <c r="AR169" s="22"/>
      <c r="AS169" s="22"/>
    </row>
    <row r="170" spans="1:45" x14ac:dyDescent="0.3">
      <c r="A170" s="22"/>
      <c r="B170" s="71"/>
      <c r="C170" s="22"/>
      <c r="D170" s="23"/>
      <c r="E170" s="22"/>
      <c r="F170" s="22"/>
      <c r="G170" s="22"/>
      <c r="H170" s="23"/>
      <c r="I170" s="22"/>
      <c r="J170" s="22"/>
      <c r="K170" s="22"/>
      <c r="L170" s="23"/>
      <c r="M170" s="71"/>
      <c r="N170" s="71"/>
      <c r="O170" s="22"/>
      <c r="P170" s="22"/>
      <c r="Q170" s="22"/>
      <c r="R170" s="71"/>
      <c r="AC170" s="22"/>
      <c r="AD170" s="22"/>
      <c r="AE170" s="22"/>
      <c r="AF170" s="22"/>
      <c r="AG170" s="22"/>
      <c r="AH170" s="22"/>
      <c r="AI170" s="22"/>
      <c r="AJ170" s="22"/>
      <c r="AK170" s="22"/>
      <c r="AL170" s="22"/>
      <c r="AM170" s="22"/>
      <c r="AN170" s="22"/>
      <c r="AO170" s="22"/>
      <c r="AP170" s="22"/>
      <c r="AQ170" s="22"/>
      <c r="AR170" s="22"/>
      <c r="AS170" s="22"/>
    </row>
    <row r="171" spans="1:45" x14ac:dyDescent="0.3">
      <c r="A171" s="22"/>
      <c r="B171" s="71"/>
      <c r="C171" s="22"/>
      <c r="D171" s="23"/>
      <c r="E171" s="22"/>
      <c r="F171" s="22"/>
      <c r="G171" s="22"/>
      <c r="H171" s="23"/>
      <c r="I171" s="22"/>
      <c r="J171" s="22"/>
      <c r="K171" s="22"/>
      <c r="L171" s="23"/>
      <c r="M171" s="71"/>
      <c r="N171" s="71"/>
      <c r="O171" s="22"/>
      <c r="P171" s="22"/>
      <c r="Q171" s="22"/>
      <c r="R171" s="71"/>
      <c r="AC171" s="22"/>
      <c r="AD171" s="22"/>
      <c r="AE171" s="22"/>
      <c r="AF171" s="22"/>
      <c r="AG171" s="22"/>
      <c r="AH171" s="22"/>
      <c r="AI171" s="22"/>
      <c r="AJ171" s="22"/>
      <c r="AK171" s="22"/>
      <c r="AL171" s="22"/>
      <c r="AM171" s="22"/>
      <c r="AN171" s="22"/>
      <c r="AO171" s="22"/>
      <c r="AP171" s="22"/>
      <c r="AQ171" s="22"/>
      <c r="AR171" s="22"/>
      <c r="AS171" s="22"/>
    </row>
    <row r="172" spans="1:45" x14ac:dyDescent="0.3">
      <c r="A172" s="22"/>
      <c r="B172" s="71"/>
      <c r="C172" s="22"/>
      <c r="D172" s="23"/>
      <c r="E172" s="22"/>
      <c r="F172" s="22"/>
      <c r="G172" s="22"/>
      <c r="H172" s="23"/>
      <c r="I172" s="22"/>
      <c r="J172" s="22"/>
      <c r="K172" s="22"/>
      <c r="L172" s="23"/>
      <c r="M172" s="71"/>
      <c r="N172" s="71"/>
      <c r="O172" s="22"/>
      <c r="P172" s="22"/>
      <c r="Q172" s="22"/>
      <c r="R172" s="71"/>
      <c r="AC172" s="22"/>
      <c r="AD172" s="22"/>
      <c r="AE172" s="22"/>
      <c r="AF172" s="22"/>
      <c r="AG172" s="22"/>
      <c r="AH172" s="22"/>
      <c r="AI172" s="22"/>
      <c r="AJ172" s="22"/>
      <c r="AK172" s="22"/>
      <c r="AL172" s="22"/>
      <c r="AM172" s="22"/>
      <c r="AN172" s="22"/>
      <c r="AO172" s="22"/>
      <c r="AP172" s="22"/>
      <c r="AQ172" s="22"/>
      <c r="AR172" s="22"/>
      <c r="AS172" s="22"/>
    </row>
    <row r="173" spans="1:45" x14ac:dyDescent="0.3">
      <c r="A173" s="22"/>
      <c r="B173" s="71"/>
      <c r="C173" s="22"/>
      <c r="D173" s="23"/>
      <c r="E173" s="22"/>
      <c r="F173" s="22"/>
      <c r="G173" s="22"/>
      <c r="H173" s="23"/>
      <c r="I173" s="22"/>
      <c r="J173" s="22"/>
      <c r="K173" s="22"/>
      <c r="L173" s="23"/>
      <c r="M173" s="71"/>
      <c r="N173" s="71"/>
      <c r="O173" s="22"/>
      <c r="P173" s="22"/>
      <c r="Q173" s="22"/>
      <c r="R173" s="71"/>
      <c r="AC173" s="22"/>
      <c r="AD173" s="22"/>
      <c r="AE173" s="22"/>
      <c r="AF173" s="22"/>
      <c r="AG173" s="22"/>
      <c r="AH173" s="22"/>
      <c r="AI173" s="22"/>
      <c r="AJ173" s="22"/>
      <c r="AK173" s="22"/>
      <c r="AL173" s="22"/>
      <c r="AM173" s="22"/>
      <c r="AN173" s="22"/>
      <c r="AO173" s="22"/>
      <c r="AP173" s="22"/>
      <c r="AQ173" s="22"/>
      <c r="AR173" s="22"/>
      <c r="AS173" s="22"/>
    </row>
    <row r="174" spans="1:45" x14ac:dyDescent="0.3">
      <c r="A174" s="22"/>
      <c r="B174" s="71"/>
      <c r="C174" s="22"/>
      <c r="D174" s="23"/>
      <c r="E174" s="22"/>
      <c r="F174" s="22"/>
      <c r="G174" s="22"/>
      <c r="H174" s="23"/>
      <c r="I174" s="22"/>
      <c r="J174" s="22"/>
      <c r="K174" s="22"/>
      <c r="L174" s="23"/>
      <c r="M174" s="71"/>
      <c r="N174" s="71"/>
      <c r="O174" s="22"/>
      <c r="P174" s="22"/>
      <c r="Q174" s="22"/>
      <c r="R174" s="71"/>
      <c r="AC174" s="22"/>
      <c r="AD174" s="22"/>
      <c r="AE174" s="22"/>
      <c r="AF174" s="22"/>
      <c r="AG174" s="22"/>
      <c r="AH174" s="22"/>
      <c r="AI174" s="22"/>
      <c r="AJ174" s="22"/>
      <c r="AK174" s="22"/>
      <c r="AL174" s="22"/>
      <c r="AM174" s="22"/>
      <c r="AN174" s="22"/>
      <c r="AO174" s="22"/>
      <c r="AP174" s="22"/>
      <c r="AQ174" s="22"/>
      <c r="AR174" s="22"/>
      <c r="AS174" s="22"/>
    </row>
    <row r="175" spans="1:45" x14ac:dyDescent="0.3">
      <c r="A175" s="22"/>
      <c r="B175" s="71"/>
      <c r="C175" s="22"/>
      <c r="D175" s="23"/>
      <c r="E175" s="22"/>
      <c r="F175" s="22"/>
      <c r="G175" s="22"/>
      <c r="H175" s="23"/>
      <c r="I175" s="22"/>
      <c r="J175" s="22"/>
      <c r="K175" s="22"/>
      <c r="L175" s="23"/>
      <c r="M175" s="71"/>
      <c r="N175" s="71"/>
      <c r="O175" s="22"/>
      <c r="P175" s="22"/>
      <c r="Q175" s="22"/>
      <c r="R175" s="71"/>
      <c r="AC175" s="22"/>
      <c r="AD175" s="22"/>
      <c r="AE175" s="22"/>
      <c r="AF175" s="22"/>
      <c r="AG175" s="22"/>
      <c r="AH175" s="22"/>
      <c r="AI175" s="22"/>
      <c r="AJ175" s="22"/>
      <c r="AK175" s="22"/>
      <c r="AL175" s="22"/>
      <c r="AM175" s="22"/>
      <c r="AN175" s="22"/>
      <c r="AO175" s="22"/>
      <c r="AP175" s="22"/>
      <c r="AQ175" s="22"/>
      <c r="AR175" s="22"/>
      <c r="AS175" s="22"/>
    </row>
    <row r="176" spans="1:45" x14ac:dyDescent="0.3">
      <c r="A176" s="22"/>
      <c r="B176" s="71"/>
      <c r="C176" s="22"/>
      <c r="D176" s="23"/>
      <c r="E176" s="22"/>
      <c r="F176" s="22"/>
      <c r="G176" s="22"/>
      <c r="H176" s="23"/>
      <c r="I176" s="22"/>
      <c r="J176" s="22"/>
      <c r="K176" s="22"/>
      <c r="L176" s="23"/>
      <c r="M176" s="71"/>
      <c r="N176" s="71"/>
      <c r="O176" s="22"/>
      <c r="P176" s="22"/>
      <c r="Q176" s="22"/>
      <c r="R176" s="71"/>
      <c r="AC176" s="22"/>
      <c r="AD176" s="22"/>
      <c r="AE176" s="22"/>
      <c r="AF176" s="22"/>
      <c r="AG176" s="22"/>
      <c r="AH176" s="22"/>
      <c r="AI176" s="22"/>
      <c r="AJ176" s="22"/>
      <c r="AK176" s="22"/>
      <c r="AL176" s="22"/>
      <c r="AM176" s="22"/>
      <c r="AN176" s="22"/>
      <c r="AO176" s="22"/>
      <c r="AP176" s="22"/>
      <c r="AQ176" s="22"/>
      <c r="AR176" s="22"/>
      <c r="AS176" s="22"/>
    </row>
    <row r="177" spans="1:45" x14ac:dyDescent="0.3">
      <c r="A177" s="22"/>
      <c r="B177" s="71"/>
      <c r="C177" s="22"/>
      <c r="D177" s="23"/>
      <c r="E177" s="22"/>
      <c r="F177" s="22"/>
      <c r="G177" s="22"/>
      <c r="H177" s="23"/>
      <c r="I177" s="22"/>
      <c r="J177" s="22"/>
      <c r="K177" s="22"/>
      <c r="L177" s="23"/>
      <c r="M177" s="71"/>
      <c r="N177" s="71"/>
      <c r="O177" s="22"/>
      <c r="P177" s="22"/>
      <c r="Q177" s="22"/>
      <c r="R177" s="71"/>
      <c r="AC177" s="22"/>
      <c r="AD177" s="22"/>
      <c r="AE177" s="22"/>
      <c r="AF177" s="22"/>
      <c r="AG177" s="22"/>
      <c r="AH177" s="22"/>
      <c r="AI177" s="22"/>
      <c r="AJ177" s="22"/>
      <c r="AK177" s="22"/>
      <c r="AL177" s="22"/>
      <c r="AM177" s="22"/>
      <c r="AN177" s="22"/>
      <c r="AO177" s="22"/>
      <c r="AP177" s="22"/>
      <c r="AQ177" s="22"/>
      <c r="AR177" s="22"/>
      <c r="AS177" s="22"/>
    </row>
    <row r="178" spans="1:45" x14ac:dyDescent="0.3">
      <c r="A178" s="22"/>
      <c r="B178" s="71"/>
      <c r="C178" s="22"/>
      <c r="D178" s="23"/>
      <c r="E178" s="22"/>
      <c r="F178" s="22"/>
      <c r="G178" s="22"/>
      <c r="H178" s="23"/>
      <c r="I178" s="22"/>
      <c r="J178" s="22"/>
      <c r="K178" s="22"/>
      <c r="L178" s="23"/>
      <c r="M178" s="71"/>
      <c r="N178" s="71"/>
      <c r="O178" s="22"/>
      <c r="P178" s="22"/>
      <c r="Q178" s="22"/>
      <c r="R178" s="71"/>
      <c r="AC178" s="22"/>
      <c r="AD178" s="22"/>
      <c r="AE178" s="22"/>
      <c r="AF178" s="22"/>
      <c r="AG178" s="22"/>
      <c r="AH178" s="22"/>
      <c r="AI178" s="22"/>
      <c r="AJ178" s="22"/>
      <c r="AK178" s="22"/>
      <c r="AL178" s="22"/>
      <c r="AM178" s="22"/>
      <c r="AN178" s="22"/>
      <c r="AO178" s="22"/>
      <c r="AP178" s="22"/>
      <c r="AQ178" s="22"/>
      <c r="AR178" s="22"/>
      <c r="AS178" s="22"/>
    </row>
    <row r="179" spans="1:45" x14ac:dyDescent="0.3">
      <c r="A179" s="22"/>
      <c r="B179" s="71"/>
      <c r="C179" s="22"/>
      <c r="D179" s="23"/>
      <c r="E179" s="22"/>
      <c r="F179" s="22"/>
      <c r="G179" s="22"/>
      <c r="H179" s="23"/>
      <c r="I179" s="22"/>
      <c r="J179" s="22"/>
      <c r="K179" s="22"/>
      <c r="L179" s="23"/>
      <c r="M179" s="71"/>
      <c r="N179" s="71"/>
      <c r="O179" s="22"/>
      <c r="P179" s="22"/>
      <c r="Q179" s="22"/>
      <c r="R179" s="71"/>
      <c r="AC179" s="22"/>
      <c r="AD179" s="22"/>
      <c r="AE179" s="22"/>
      <c r="AF179" s="22"/>
      <c r="AG179" s="22"/>
      <c r="AH179" s="22"/>
      <c r="AI179" s="22"/>
      <c r="AJ179" s="22"/>
      <c r="AK179" s="22"/>
      <c r="AL179" s="22"/>
      <c r="AM179" s="22"/>
      <c r="AN179" s="22"/>
      <c r="AO179" s="22"/>
      <c r="AP179" s="22"/>
      <c r="AQ179" s="22"/>
      <c r="AR179" s="22"/>
      <c r="AS179" s="22"/>
    </row>
    <row r="180" spans="1:45" x14ac:dyDescent="0.3">
      <c r="A180" s="22"/>
      <c r="B180" s="71"/>
      <c r="C180" s="22"/>
      <c r="D180" s="23"/>
      <c r="E180" s="22"/>
      <c r="F180" s="22"/>
      <c r="G180" s="22"/>
      <c r="H180" s="23"/>
      <c r="I180" s="22"/>
      <c r="J180" s="22"/>
      <c r="K180" s="22"/>
      <c r="L180" s="23"/>
      <c r="M180" s="71"/>
      <c r="N180" s="71"/>
      <c r="O180" s="22"/>
      <c r="P180" s="22"/>
      <c r="Q180" s="22"/>
      <c r="R180" s="71"/>
      <c r="AC180" s="22"/>
      <c r="AD180" s="22"/>
      <c r="AE180" s="22"/>
      <c r="AF180" s="22"/>
      <c r="AG180" s="22"/>
      <c r="AH180" s="22"/>
      <c r="AI180" s="22"/>
      <c r="AJ180" s="22"/>
      <c r="AK180" s="22"/>
      <c r="AL180" s="22"/>
      <c r="AM180" s="22"/>
      <c r="AN180" s="22"/>
      <c r="AO180" s="22"/>
      <c r="AP180" s="22"/>
      <c r="AQ180" s="22"/>
      <c r="AR180" s="22"/>
      <c r="AS180" s="22"/>
    </row>
    <row r="181" spans="1:45" x14ac:dyDescent="0.3">
      <c r="A181" s="22"/>
      <c r="B181" s="71"/>
      <c r="C181" s="22"/>
      <c r="D181" s="23"/>
      <c r="E181" s="22"/>
      <c r="F181" s="22"/>
      <c r="G181" s="22"/>
      <c r="H181" s="23"/>
      <c r="I181" s="22"/>
      <c r="J181" s="22"/>
      <c r="K181" s="22"/>
      <c r="L181" s="23"/>
      <c r="M181" s="71"/>
      <c r="N181" s="71"/>
      <c r="O181" s="22"/>
      <c r="P181" s="22"/>
      <c r="Q181" s="22"/>
      <c r="R181" s="71"/>
      <c r="AC181" s="22"/>
      <c r="AD181" s="22"/>
      <c r="AE181" s="22"/>
      <c r="AF181" s="22"/>
      <c r="AG181" s="22"/>
      <c r="AH181" s="22"/>
      <c r="AI181" s="22"/>
      <c r="AJ181" s="22"/>
      <c r="AK181" s="22"/>
      <c r="AL181" s="22"/>
      <c r="AM181" s="22"/>
      <c r="AN181" s="22"/>
      <c r="AO181" s="22"/>
      <c r="AP181" s="22"/>
      <c r="AQ181" s="22"/>
      <c r="AR181" s="22"/>
      <c r="AS181" s="22"/>
    </row>
    <row r="182" spans="1:45" x14ac:dyDescent="0.3">
      <c r="A182" s="22"/>
      <c r="B182" s="71"/>
      <c r="C182" s="22"/>
      <c r="D182" s="23"/>
      <c r="E182" s="22"/>
      <c r="F182" s="22"/>
      <c r="G182" s="22"/>
      <c r="H182" s="23"/>
      <c r="I182" s="22"/>
      <c r="J182" s="22"/>
      <c r="K182" s="22"/>
      <c r="L182" s="23"/>
      <c r="M182" s="71"/>
      <c r="N182" s="71"/>
      <c r="O182" s="22"/>
      <c r="P182" s="22"/>
      <c r="Q182" s="22"/>
      <c r="R182" s="71"/>
      <c r="AC182" s="22"/>
      <c r="AD182" s="22"/>
      <c r="AE182" s="22"/>
      <c r="AF182" s="22"/>
      <c r="AG182" s="22"/>
      <c r="AH182" s="22"/>
      <c r="AI182" s="22"/>
      <c r="AJ182" s="22"/>
      <c r="AK182" s="22"/>
      <c r="AL182" s="22"/>
      <c r="AM182" s="22"/>
      <c r="AN182" s="22"/>
      <c r="AO182" s="22"/>
      <c r="AP182" s="22"/>
      <c r="AQ182" s="22"/>
      <c r="AR182" s="22"/>
      <c r="AS182" s="22"/>
    </row>
    <row r="183" spans="1:45" x14ac:dyDescent="0.3">
      <c r="A183" s="22"/>
      <c r="B183" s="71"/>
      <c r="C183" s="22"/>
      <c r="D183" s="23"/>
      <c r="E183" s="22"/>
      <c r="F183" s="22"/>
      <c r="G183" s="22"/>
      <c r="H183" s="23"/>
      <c r="I183" s="22"/>
      <c r="J183" s="22"/>
      <c r="K183" s="22"/>
      <c r="L183" s="23"/>
      <c r="M183" s="71"/>
      <c r="N183" s="71"/>
      <c r="O183" s="22"/>
      <c r="P183" s="22"/>
      <c r="Q183" s="22"/>
      <c r="R183" s="71"/>
      <c r="AC183" s="22"/>
      <c r="AD183" s="22"/>
      <c r="AE183" s="22"/>
      <c r="AF183" s="22"/>
      <c r="AG183" s="22"/>
      <c r="AH183" s="22"/>
      <c r="AI183" s="22"/>
      <c r="AJ183" s="22"/>
      <c r="AK183" s="22"/>
      <c r="AL183" s="22"/>
      <c r="AM183" s="22"/>
      <c r="AN183" s="22"/>
      <c r="AO183" s="22"/>
      <c r="AP183" s="22"/>
      <c r="AQ183" s="22"/>
      <c r="AR183" s="22"/>
      <c r="AS183" s="22"/>
    </row>
    <row r="184" spans="1:45" x14ac:dyDescent="0.3">
      <c r="A184" s="22"/>
      <c r="B184" s="71"/>
      <c r="C184" s="22"/>
      <c r="D184" s="23"/>
      <c r="E184" s="22"/>
      <c r="F184" s="22"/>
      <c r="G184" s="22"/>
      <c r="H184" s="23"/>
      <c r="I184" s="22"/>
      <c r="J184" s="22"/>
      <c r="K184" s="22"/>
      <c r="L184" s="23"/>
      <c r="M184" s="71"/>
      <c r="N184" s="71"/>
      <c r="O184" s="22"/>
      <c r="P184" s="22"/>
      <c r="Q184" s="22"/>
      <c r="R184" s="71"/>
      <c r="AC184" s="22"/>
      <c r="AD184" s="22"/>
      <c r="AE184" s="22"/>
      <c r="AF184" s="22"/>
      <c r="AG184" s="22"/>
      <c r="AH184" s="22"/>
      <c r="AI184" s="22"/>
      <c r="AJ184" s="22"/>
      <c r="AK184" s="22"/>
      <c r="AL184" s="22"/>
      <c r="AM184" s="22"/>
      <c r="AN184" s="22"/>
      <c r="AO184" s="22"/>
      <c r="AP184" s="22"/>
      <c r="AQ184" s="22"/>
      <c r="AR184" s="22"/>
      <c r="AS184" s="22"/>
    </row>
    <row r="185" spans="1:45" x14ac:dyDescent="0.3">
      <c r="A185" s="22"/>
      <c r="B185" s="71"/>
      <c r="C185" s="22"/>
      <c r="D185" s="23"/>
      <c r="E185" s="22"/>
      <c r="F185" s="22"/>
      <c r="G185" s="22"/>
      <c r="H185" s="23"/>
      <c r="I185" s="22"/>
      <c r="J185" s="22"/>
      <c r="K185" s="22"/>
      <c r="L185" s="23"/>
      <c r="M185" s="71"/>
      <c r="N185" s="71"/>
      <c r="O185" s="22"/>
      <c r="P185" s="22"/>
      <c r="Q185" s="22"/>
      <c r="R185" s="71"/>
      <c r="AC185" s="22"/>
      <c r="AD185" s="22"/>
      <c r="AE185" s="22"/>
      <c r="AF185" s="22"/>
      <c r="AG185" s="22"/>
      <c r="AH185" s="22"/>
      <c r="AI185" s="22"/>
      <c r="AJ185" s="22"/>
      <c r="AK185" s="22"/>
      <c r="AL185" s="22"/>
      <c r="AM185" s="22"/>
      <c r="AN185" s="22"/>
      <c r="AO185" s="22"/>
      <c r="AP185" s="22"/>
      <c r="AQ185" s="22"/>
      <c r="AR185" s="22"/>
      <c r="AS185" s="22"/>
    </row>
    <row r="186" spans="1:45" x14ac:dyDescent="0.3">
      <c r="A186" s="22"/>
      <c r="B186" s="71"/>
      <c r="C186" s="22"/>
      <c r="D186" s="23"/>
      <c r="E186" s="22"/>
      <c r="F186" s="22"/>
      <c r="G186" s="22"/>
      <c r="H186" s="23"/>
      <c r="I186" s="22"/>
      <c r="J186" s="22"/>
      <c r="K186" s="22"/>
      <c r="L186" s="23"/>
      <c r="M186" s="71"/>
      <c r="N186" s="71"/>
      <c r="O186" s="22"/>
      <c r="P186" s="22"/>
      <c r="Q186" s="22"/>
      <c r="R186" s="71"/>
      <c r="AC186" s="22"/>
      <c r="AD186" s="22"/>
      <c r="AE186" s="22"/>
      <c r="AF186" s="22"/>
      <c r="AG186" s="22"/>
      <c r="AH186" s="22"/>
      <c r="AI186" s="22"/>
      <c r="AJ186" s="22"/>
      <c r="AK186" s="22"/>
      <c r="AL186" s="22"/>
      <c r="AM186" s="22"/>
      <c r="AN186" s="22"/>
      <c r="AO186" s="22"/>
      <c r="AP186" s="22"/>
      <c r="AQ186" s="22"/>
      <c r="AR186" s="22"/>
      <c r="AS186" s="22"/>
    </row>
    <row r="187" spans="1:45" x14ac:dyDescent="0.3">
      <c r="A187" s="22"/>
      <c r="B187" s="71"/>
      <c r="C187" s="22"/>
      <c r="D187" s="23"/>
      <c r="E187" s="22"/>
      <c r="F187" s="22"/>
      <c r="G187" s="22"/>
      <c r="H187" s="23"/>
      <c r="I187" s="22"/>
      <c r="J187" s="22"/>
      <c r="K187" s="22"/>
      <c r="L187" s="23"/>
      <c r="M187" s="71"/>
      <c r="N187" s="71"/>
      <c r="O187" s="22"/>
      <c r="P187" s="22"/>
      <c r="Q187" s="22"/>
      <c r="R187" s="71"/>
      <c r="AC187" s="22"/>
      <c r="AD187" s="22"/>
      <c r="AE187" s="22"/>
      <c r="AF187" s="22"/>
      <c r="AG187" s="22"/>
      <c r="AH187" s="22"/>
      <c r="AI187" s="22"/>
      <c r="AJ187" s="22"/>
      <c r="AK187" s="22"/>
      <c r="AL187" s="22"/>
      <c r="AM187" s="22"/>
      <c r="AN187" s="22"/>
      <c r="AO187" s="22"/>
      <c r="AP187" s="22"/>
      <c r="AQ187" s="22"/>
      <c r="AR187" s="22"/>
      <c r="AS187" s="22"/>
    </row>
    <row r="188" spans="1:45" x14ac:dyDescent="0.3">
      <c r="A188" s="22"/>
      <c r="B188" s="71"/>
      <c r="C188" s="22"/>
      <c r="D188" s="23"/>
      <c r="E188" s="22"/>
      <c r="F188" s="22"/>
      <c r="G188" s="22"/>
      <c r="H188" s="23"/>
      <c r="I188" s="22"/>
      <c r="J188" s="22"/>
      <c r="K188" s="22"/>
      <c r="L188" s="23"/>
      <c r="M188" s="71"/>
      <c r="N188" s="71"/>
      <c r="O188" s="22"/>
      <c r="P188" s="22"/>
      <c r="Q188" s="22"/>
      <c r="R188" s="71"/>
      <c r="AC188" s="22"/>
      <c r="AD188" s="22"/>
      <c r="AE188" s="22"/>
      <c r="AF188" s="22"/>
      <c r="AG188" s="22"/>
      <c r="AH188" s="22"/>
      <c r="AI188" s="22"/>
      <c r="AJ188" s="22"/>
      <c r="AK188" s="22"/>
      <c r="AL188" s="22"/>
      <c r="AM188" s="22"/>
      <c r="AN188" s="22"/>
      <c r="AO188" s="22"/>
      <c r="AP188" s="22"/>
      <c r="AQ188" s="22"/>
      <c r="AR188" s="22"/>
      <c r="AS188" s="22"/>
    </row>
    <row r="189" spans="1:45" x14ac:dyDescent="0.3">
      <c r="A189" s="22"/>
      <c r="B189" s="71"/>
      <c r="C189" s="22"/>
      <c r="D189" s="23"/>
      <c r="E189" s="22"/>
      <c r="F189" s="22"/>
      <c r="G189" s="22"/>
      <c r="H189" s="23"/>
      <c r="I189" s="22"/>
      <c r="J189" s="22"/>
      <c r="K189" s="22"/>
      <c r="L189" s="23"/>
      <c r="M189" s="71"/>
      <c r="N189" s="71"/>
      <c r="O189" s="22"/>
      <c r="P189" s="22"/>
      <c r="Q189" s="22"/>
      <c r="R189" s="71"/>
      <c r="AC189" s="22"/>
      <c r="AD189" s="22"/>
      <c r="AE189" s="22"/>
      <c r="AF189" s="22"/>
      <c r="AG189" s="22"/>
      <c r="AH189" s="22"/>
      <c r="AI189" s="22"/>
      <c r="AJ189" s="22"/>
      <c r="AK189" s="22"/>
      <c r="AL189" s="22"/>
      <c r="AM189" s="22"/>
      <c r="AN189" s="22"/>
      <c r="AO189" s="22"/>
      <c r="AP189" s="22"/>
      <c r="AQ189" s="22"/>
      <c r="AR189" s="22"/>
      <c r="AS189" s="22"/>
    </row>
    <row r="190" spans="1:45" x14ac:dyDescent="0.3">
      <c r="A190" s="22"/>
      <c r="B190" s="71"/>
      <c r="C190" s="22"/>
      <c r="D190" s="23"/>
      <c r="E190" s="22"/>
      <c r="F190" s="22"/>
      <c r="G190" s="22"/>
      <c r="H190" s="23"/>
      <c r="I190" s="22"/>
      <c r="J190" s="22"/>
      <c r="K190" s="22"/>
      <c r="L190" s="23"/>
      <c r="M190" s="71"/>
      <c r="N190" s="71"/>
      <c r="O190" s="22"/>
      <c r="P190" s="22"/>
      <c r="Q190" s="22"/>
      <c r="R190" s="71"/>
      <c r="AC190" s="22"/>
      <c r="AD190" s="22"/>
      <c r="AE190" s="22"/>
      <c r="AF190" s="22"/>
      <c r="AG190" s="22"/>
      <c r="AH190" s="22"/>
      <c r="AI190" s="22"/>
      <c r="AJ190" s="22"/>
      <c r="AK190" s="22"/>
      <c r="AL190" s="22"/>
      <c r="AM190" s="22"/>
      <c r="AN190" s="22"/>
      <c r="AO190" s="22"/>
      <c r="AP190" s="22"/>
      <c r="AQ190" s="22"/>
      <c r="AR190" s="22"/>
      <c r="AS190" s="22"/>
    </row>
    <row r="191" spans="1:45" x14ac:dyDescent="0.3">
      <c r="A191" s="22"/>
      <c r="B191" s="71"/>
      <c r="C191" s="22"/>
      <c r="D191" s="23"/>
      <c r="E191" s="22"/>
      <c r="F191" s="22"/>
      <c r="G191" s="22"/>
      <c r="H191" s="23"/>
      <c r="I191" s="22"/>
      <c r="J191" s="22"/>
      <c r="K191" s="22"/>
      <c r="L191" s="23"/>
      <c r="M191" s="71"/>
      <c r="N191" s="71"/>
      <c r="O191" s="22"/>
      <c r="P191" s="22"/>
      <c r="Q191" s="22"/>
      <c r="R191" s="71"/>
      <c r="AC191" s="22"/>
      <c r="AD191" s="22"/>
      <c r="AE191" s="22"/>
      <c r="AF191" s="22"/>
      <c r="AG191" s="22"/>
      <c r="AH191" s="22"/>
      <c r="AI191" s="22"/>
      <c r="AJ191" s="22"/>
      <c r="AK191" s="22"/>
      <c r="AL191" s="22"/>
      <c r="AM191" s="22"/>
      <c r="AN191" s="22"/>
      <c r="AO191" s="22"/>
      <c r="AP191" s="22"/>
      <c r="AQ191" s="22"/>
      <c r="AR191" s="22"/>
      <c r="AS191" s="22"/>
    </row>
    <row r="192" spans="1:45" x14ac:dyDescent="0.3">
      <c r="A192" s="22"/>
      <c r="B192" s="71"/>
      <c r="C192" s="22"/>
      <c r="D192" s="23"/>
      <c r="E192" s="22"/>
      <c r="F192" s="22"/>
      <c r="G192" s="22"/>
      <c r="H192" s="23"/>
      <c r="I192" s="22"/>
      <c r="J192" s="22"/>
      <c r="K192" s="22"/>
      <c r="L192" s="23"/>
      <c r="M192" s="71"/>
      <c r="N192" s="71"/>
      <c r="O192" s="22"/>
      <c r="P192" s="22"/>
      <c r="Q192" s="22"/>
      <c r="R192" s="71"/>
      <c r="AC192" s="22"/>
      <c r="AD192" s="22"/>
      <c r="AE192" s="22"/>
      <c r="AF192" s="22"/>
      <c r="AG192" s="22"/>
      <c r="AH192" s="22"/>
      <c r="AI192" s="22"/>
      <c r="AJ192" s="22"/>
      <c r="AK192" s="22"/>
      <c r="AL192" s="22"/>
      <c r="AM192" s="22"/>
      <c r="AN192" s="22"/>
      <c r="AO192" s="22"/>
      <c r="AP192" s="22"/>
      <c r="AQ192" s="22"/>
      <c r="AR192" s="22"/>
      <c r="AS192" s="22"/>
    </row>
    <row r="193" spans="1:45" x14ac:dyDescent="0.3">
      <c r="A193" s="22"/>
      <c r="B193" s="71"/>
      <c r="C193" s="22"/>
      <c r="D193" s="23"/>
      <c r="E193" s="22"/>
      <c r="F193" s="22"/>
      <c r="G193" s="22"/>
      <c r="H193" s="23"/>
      <c r="I193" s="22"/>
      <c r="J193" s="22"/>
      <c r="K193" s="22"/>
      <c r="L193" s="23"/>
      <c r="M193" s="71"/>
      <c r="N193" s="71"/>
      <c r="O193" s="22"/>
      <c r="P193" s="22"/>
      <c r="Q193" s="22"/>
      <c r="R193" s="71"/>
      <c r="AC193" s="22"/>
      <c r="AD193" s="22"/>
      <c r="AE193" s="22"/>
      <c r="AF193" s="22"/>
      <c r="AG193" s="22"/>
      <c r="AH193" s="22"/>
      <c r="AI193" s="22"/>
      <c r="AJ193" s="22"/>
      <c r="AK193" s="22"/>
      <c r="AL193" s="22"/>
      <c r="AM193" s="22"/>
      <c r="AN193" s="22"/>
      <c r="AO193" s="22"/>
      <c r="AP193" s="22"/>
      <c r="AQ193" s="22"/>
      <c r="AR193" s="22"/>
      <c r="AS193" s="22"/>
    </row>
    <row r="194" spans="1:45" x14ac:dyDescent="0.3">
      <c r="A194" s="22"/>
      <c r="B194" s="71"/>
      <c r="C194" s="22"/>
      <c r="D194" s="23"/>
      <c r="E194" s="22"/>
      <c r="F194" s="22"/>
      <c r="G194" s="22"/>
      <c r="H194" s="23"/>
      <c r="I194" s="22"/>
      <c r="J194" s="22"/>
      <c r="K194" s="22"/>
      <c r="L194" s="23"/>
      <c r="M194" s="71"/>
      <c r="N194" s="71"/>
      <c r="O194" s="22"/>
      <c r="P194" s="22"/>
      <c r="Q194" s="22"/>
      <c r="R194" s="71"/>
      <c r="AC194" s="22"/>
      <c r="AD194" s="22"/>
      <c r="AE194" s="22"/>
      <c r="AF194" s="22"/>
      <c r="AG194" s="22"/>
      <c r="AH194" s="22"/>
      <c r="AI194" s="22"/>
      <c r="AJ194" s="22"/>
      <c r="AK194" s="22"/>
      <c r="AL194" s="22"/>
      <c r="AM194" s="22"/>
      <c r="AN194" s="22"/>
      <c r="AO194" s="22"/>
      <c r="AP194" s="22"/>
      <c r="AQ194" s="22"/>
      <c r="AR194" s="22"/>
      <c r="AS194" s="22"/>
    </row>
    <row r="195" spans="1:45" x14ac:dyDescent="0.3">
      <c r="A195" s="22"/>
      <c r="B195" s="71"/>
      <c r="C195" s="22"/>
      <c r="D195" s="23"/>
      <c r="E195" s="22"/>
      <c r="F195" s="22"/>
      <c r="G195" s="22"/>
      <c r="H195" s="23"/>
      <c r="I195" s="22"/>
      <c r="J195" s="22"/>
      <c r="K195" s="22"/>
      <c r="L195" s="23"/>
      <c r="M195" s="71"/>
      <c r="N195" s="71"/>
      <c r="O195" s="22"/>
      <c r="P195" s="22"/>
      <c r="Q195" s="22"/>
      <c r="R195" s="71"/>
      <c r="AC195" s="22"/>
      <c r="AD195" s="22"/>
      <c r="AE195" s="22"/>
      <c r="AF195" s="22"/>
      <c r="AG195" s="22"/>
      <c r="AH195" s="22"/>
      <c r="AI195" s="22"/>
      <c r="AJ195" s="22"/>
      <c r="AK195" s="22"/>
      <c r="AL195" s="22"/>
      <c r="AM195" s="22"/>
      <c r="AN195" s="22"/>
      <c r="AO195" s="22"/>
      <c r="AP195" s="22"/>
      <c r="AQ195" s="22"/>
      <c r="AR195" s="22"/>
      <c r="AS195" s="22"/>
    </row>
    <row r="196" spans="1:45" x14ac:dyDescent="0.3">
      <c r="A196" s="22"/>
      <c r="B196" s="71"/>
      <c r="C196" s="22"/>
      <c r="D196" s="23"/>
      <c r="E196" s="22"/>
      <c r="F196" s="22"/>
      <c r="G196" s="22"/>
      <c r="H196" s="23"/>
      <c r="I196" s="22"/>
      <c r="J196" s="22"/>
      <c r="K196" s="22"/>
      <c r="L196" s="23"/>
      <c r="M196" s="71"/>
      <c r="N196" s="71"/>
      <c r="O196" s="22"/>
      <c r="P196" s="22"/>
      <c r="Q196" s="22"/>
      <c r="R196" s="71"/>
      <c r="AC196" s="22"/>
      <c r="AD196" s="22"/>
      <c r="AE196" s="22"/>
      <c r="AF196" s="22"/>
      <c r="AG196" s="22"/>
      <c r="AH196" s="22"/>
      <c r="AI196" s="22"/>
      <c r="AJ196" s="22"/>
      <c r="AK196" s="22"/>
      <c r="AL196" s="22"/>
      <c r="AM196" s="22"/>
      <c r="AN196" s="22"/>
      <c r="AO196" s="22"/>
      <c r="AP196" s="22"/>
      <c r="AQ196" s="22"/>
      <c r="AR196" s="22"/>
      <c r="AS196" s="22"/>
    </row>
    <row r="197" spans="1:45" x14ac:dyDescent="0.3">
      <c r="A197" s="22"/>
      <c r="B197" s="71"/>
      <c r="C197" s="22"/>
      <c r="D197" s="23"/>
      <c r="E197" s="22"/>
      <c r="F197" s="22"/>
      <c r="G197" s="22"/>
      <c r="H197" s="23"/>
      <c r="I197" s="22"/>
      <c r="J197" s="22"/>
      <c r="K197" s="22"/>
      <c r="L197" s="23"/>
      <c r="M197" s="71"/>
      <c r="N197" s="71"/>
      <c r="O197" s="22"/>
      <c r="P197" s="22"/>
      <c r="Q197" s="22"/>
      <c r="R197" s="71"/>
      <c r="AC197" s="22"/>
      <c r="AD197" s="22"/>
      <c r="AE197" s="22"/>
      <c r="AF197" s="22"/>
      <c r="AG197" s="22"/>
      <c r="AH197" s="22"/>
      <c r="AI197" s="22"/>
      <c r="AJ197" s="22"/>
      <c r="AK197" s="22"/>
      <c r="AL197" s="22"/>
      <c r="AM197" s="22"/>
      <c r="AN197" s="22"/>
      <c r="AO197" s="22"/>
      <c r="AP197" s="22"/>
      <c r="AQ197" s="22"/>
      <c r="AR197" s="22"/>
      <c r="AS197" s="22"/>
    </row>
    <row r="198" spans="1:45" x14ac:dyDescent="0.3">
      <c r="A198" s="22"/>
      <c r="B198" s="71"/>
      <c r="C198" s="22"/>
      <c r="D198" s="23"/>
      <c r="E198" s="22"/>
      <c r="F198" s="22"/>
      <c r="G198" s="22"/>
      <c r="H198" s="23"/>
      <c r="I198" s="22"/>
      <c r="J198" s="22"/>
      <c r="K198" s="22"/>
      <c r="L198" s="23"/>
      <c r="M198" s="71"/>
      <c r="N198" s="71"/>
      <c r="O198" s="22"/>
      <c r="P198" s="22"/>
      <c r="Q198" s="22"/>
      <c r="R198" s="71"/>
      <c r="AC198" s="22"/>
      <c r="AD198" s="22"/>
      <c r="AE198" s="22"/>
      <c r="AF198" s="22"/>
      <c r="AG198" s="22"/>
      <c r="AH198" s="22"/>
      <c r="AI198" s="22"/>
      <c r="AJ198" s="22"/>
      <c r="AK198" s="22"/>
      <c r="AL198" s="22"/>
      <c r="AM198" s="22"/>
      <c r="AN198" s="22"/>
      <c r="AO198" s="22"/>
      <c r="AP198" s="22"/>
      <c r="AQ198" s="22"/>
      <c r="AR198" s="22"/>
      <c r="AS198" s="22"/>
    </row>
    <row r="199" spans="1:45" x14ac:dyDescent="0.3">
      <c r="A199" s="22"/>
      <c r="B199" s="71"/>
      <c r="C199" s="22"/>
      <c r="D199" s="23"/>
      <c r="E199" s="22"/>
      <c r="F199" s="22"/>
      <c r="G199" s="22"/>
      <c r="H199" s="23"/>
      <c r="I199" s="22"/>
      <c r="J199" s="22"/>
      <c r="K199" s="22"/>
      <c r="L199" s="23"/>
      <c r="M199" s="71"/>
      <c r="N199" s="71"/>
      <c r="O199" s="22"/>
      <c r="P199" s="22"/>
      <c r="Q199" s="22"/>
      <c r="R199" s="71"/>
      <c r="AC199" s="22"/>
      <c r="AD199" s="22"/>
      <c r="AE199" s="22"/>
      <c r="AF199" s="22"/>
      <c r="AG199" s="22"/>
      <c r="AH199" s="22"/>
      <c r="AI199" s="22"/>
      <c r="AJ199" s="22"/>
      <c r="AK199" s="22"/>
      <c r="AL199" s="22"/>
      <c r="AM199" s="22"/>
      <c r="AN199" s="22"/>
      <c r="AO199" s="22"/>
      <c r="AP199" s="22"/>
      <c r="AQ199" s="22"/>
      <c r="AR199" s="22"/>
      <c r="AS199" s="22"/>
    </row>
    <row r="200" spans="1:45" x14ac:dyDescent="0.3">
      <c r="A200" s="22"/>
      <c r="B200" s="71"/>
      <c r="C200" s="22"/>
      <c r="D200" s="23"/>
      <c r="E200" s="22"/>
      <c r="F200" s="22"/>
      <c r="G200" s="22"/>
      <c r="H200" s="23"/>
      <c r="I200" s="22"/>
      <c r="J200" s="22"/>
      <c r="K200" s="22"/>
      <c r="L200" s="23"/>
      <c r="M200" s="71"/>
      <c r="N200" s="71"/>
      <c r="O200" s="22"/>
      <c r="P200" s="22"/>
      <c r="Q200" s="22"/>
      <c r="R200" s="71"/>
      <c r="AC200" s="22"/>
      <c r="AD200" s="22"/>
      <c r="AE200" s="22"/>
      <c r="AF200" s="22"/>
      <c r="AG200" s="22"/>
      <c r="AH200" s="22"/>
      <c r="AI200" s="22"/>
      <c r="AJ200" s="22"/>
      <c r="AK200" s="22"/>
      <c r="AL200" s="22"/>
      <c r="AM200" s="22"/>
      <c r="AN200" s="22"/>
      <c r="AO200" s="22"/>
      <c r="AP200" s="22"/>
      <c r="AQ200" s="22"/>
      <c r="AR200" s="22"/>
      <c r="AS200" s="22"/>
    </row>
    <row r="201" spans="1:45" x14ac:dyDescent="0.3">
      <c r="A201" s="22"/>
      <c r="B201" s="71"/>
      <c r="C201" s="22"/>
      <c r="D201" s="23"/>
      <c r="E201" s="22"/>
      <c r="F201" s="22"/>
      <c r="G201" s="22"/>
      <c r="H201" s="23"/>
      <c r="I201" s="22"/>
      <c r="J201" s="22"/>
      <c r="K201" s="22"/>
      <c r="L201" s="23"/>
      <c r="M201" s="71"/>
      <c r="N201" s="71"/>
      <c r="O201" s="22"/>
      <c r="P201" s="22"/>
      <c r="Q201" s="22"/>
      <c r="R201" s="71"/>
      <c r="AC201" s="22"/>
      <c r="AD201" s="22"/>
      <c r="AE201" s="22"/>
      <c r="AF201" s="22"/>
      <c r="AG201" s="22"/>
      <c r="AH201" s="22"/>
      <c r="AI201" s="22"/>
      <c r="AJ201" s="22"/>
      <c r="AK201" s="22"/>
      <c r="AL201" s="22"/>
      <c r="AM201" s="22"/>
      <c r="AN201" s="22"/>
      <c r="AO201" s="22"/>
      <c r="AP201" s="22"/>
      <c r="AQ201" s="22"/>
      <c r="AR201" s="22"/>
      <c r="AS201" s="22"/>
    </row>
    <row r="202" spans="1:45" x14ac:dyDescent="0.3">
      <c r="A202" s="22"/>
      <c r="B202" s="71"/>
      <c r="C202" s="22"/>
      <c r="D202" s="23"/>
      <c r="E202" s="22"/>
      <c r="F202" s="22"/>
      <c r="G202" s="22"/>
      <c r="H202" s="23"/>
      <c r="I202" s="22"/>
      <c r="J202" s="22"/>
      <c r="K202" s="22"/>
      <c r="L202" s="23"/>
      <c r="M202" s="71"/>
      <c r="N202" s="71"/>
      <c r="O202" s="22"/>
      <c r="P202" s="22"/>
      <c r="Q202" s="22"/>
      <c r="R202" s="71"/>
      <c r="AC202" s="22"/>
      <c r="AD202" s="22"/>
      <c r="AE202" s="22"/>
      <c r="AF202" s="22"/>
      <c r="AG202" s="22"/>
      <c r="AH202" s="22"/>
      <c r="AI202" s="22"/>
      <c r="AJ202" s="22"/>
      <c r="AK202" s="22"/>
      <c r="AL202" s="22"/>
      <c r="AM202" s="22"/>
      <c r="AN202" s="22"/>
      <c r="AO202" s="22"/>
      <c r="AP202" s="22"/>
      <c r="AQ202" s="22"/>
      <c r="AR202" s="22"/>
      <c r="AS202" s="22"/>
    </row>
    <row r="203" spans="1:45" x14ac:dyDescent="0.3">
      <c r="A203" s="22"/>
      <c r="B203" s="71"/>
      <c r="C203" s="22"/>
      <c r="D203" s="23"/>
      <c r="E203" s="22"/>
      <c r="F203" s="22"/>
      <c r="G203" s="22"/>
      <c r="H203" s="23"/>
      <c r="I203" s="22"/>
      <c r="J203" s="22"/>
      <c r="K203" s="22"/>
      <c r="L203" s="23"/>
      <c r="M203" s="71"/>
      <c r="N203" s="71"/>
      <c r="O203" s="22"/>
      <c r="P203" s="22"/>
      <c r="Q203" s="22"/>
      <c r="R203" s="71"/>
      <c r="AC203" s="22"/>
      <c r="AD203" s="22"/>
      <c r="AE203" s="22"/>
      <c r="AF203" s="22"/>
      <c r="AG203" s="22"/>
      <c r="AH203" s="22"/>
      <c r="AI203" s="22"/>
      <c r="AJ203" s="22"/>
      <c r="AK203" s="22"/>
      <c r="AL203" s="22"/>
      <c r="AM203" s="22"/>
      <c r="AN203" s="22"/>
      <c r="AO203" s="22"/>
      <c r="AP203" s="22"/>
      <c r="AQ203" s="22"/>
      <c r="AR203" s="22"/>
      <c r="AS203" s="22"/>
    </row>
    <row r="204" spans="1:45" x14ac:dyDescent="0.3">
      <c r="A204" s="22"/>
      <c r="B204" s="71"/>
      <c r="C204" s="22"/>
      <c r="D204" s="23"/>
      <c r="E204" s="22"/>
      <c r="F204" s="22"/>
      <c r="G204" s="22"/>
      <c r="H204" s="23"/>
      <c r="I204" s="22"/>
      <c r="J204" s="22"/>
      <c r="K204" s="22"/>
      <c r="L204" s="23"/>
      <c r="M204" s="71"/>
      <c r="N204" s="71"/>
      <c r="O204" s="22"/>
      <c r="P204" s="22"/>
      <c r="Q204" s="22"/>
      <c r="R204" s="71"/>
      <c r="AC204" s="22"/>
      <c r="AD204" s="22"/>
      <c r="AE204" s="22"/>
      <c r="AF204" s="22"/>
      <c r="AG204" s="22"/>
      <c r="AH204" s="22"/>
      <c r="AI204" s="22"/>
      <c r="AJ204" s="22"/>
      <c r="AK204" s="22"/>
      <c r="AL204" s="22"/>
      <c r="AM204" s="22"/>
      <c r="AN204" s="22"/>
      <c r="AO204" s="22"/>
      <c r="AP204" s="22"/>
      <c r="AQ204" s="22"/>
      <c r="AR204" s="22"/>
      <c r="AS204" s="22"/>
    </row>
    <row r="205" spans="1:45" x14ac:dyDescent="0.3">
      <c r="A205" s="22"/>
      <c r="B205" s="71"/>
      <c r="C205" s="22"/>
      <c r="D205" s="23"/>
      <c r="E205" s="22"/>
      <c r="F205" s="22"/>
      <c r="G205" s="22"/>
      <c r="H205" s="23"/>
      <c r="I205" s="22"/>
      <c r="J205" s="22"/>
      <c r="K205" s="22"/>
      <c r="L205" s="23"/>
      <c r="M205" s="71"/>
      <c r="N205" s="71"/>
      <c r="O205" s="22"/>
      <c r="P205" s="22"/>
      <c r="Q205" s="22"/>
      <c r="R205" s="71"/>
      <c r="AC205" s="22"/>
      <c r="AD205" s="22"/>
      <c r="AE205" s="22"/>
      <c r="AF205" s="22"/>
      <c r="AG205" s="22"/>
      <c r="AH205" s="22"/>
      <c r="AI205" s="22"/>
      <c r="AJ205" s="22"/>
      <c r="AK205" s="22"/>
      <c r="AL205" s="22"/>
      <c r="AM205" s="22"/>
      <c r="AN205" s="22"/>
      <c r="AO205" s="22"/>
      <c r="AP205" s="22"/>
      <c r="AQ205" s="22"/>
      <c r="AR205" s="22"/>
      <c r="AS205" s="22"/>
    </row>
    <row r="206" spans="1:45" x14ac:dyDescent="0.3">
      <c r="A206" s="22"/>
      <c r="B206" s="71"/>
      <c r="C206" s="22"/>
      <c r="D206" s="23"/>
      <c r="E206" s="22"/>
      <c r="F206" s="22"/>
      <c r="G206" s="22"/>
      <c r="H206" s="23"/>
      <c r="I206" s="22"/>
      <c r="J206" s="22"/>
      <c r="K206" s="22"/>
      <c r="L206" s="23"/>
      <c r="M206" s="71"/>
      <c r="N206" s="71"/>
      <c r="O206" s="22"/>
      <c r="P206" s="22"/>
      <c r="Q206" s="22"/>
      <c r="R206" s="71"/>
      <c r="AC206" s="22"/>
      <c r="AD206" s="22"/>
      <c r="AE206" s="22"/>
      <c r="AF206" s="22"/>
      <c r="AG206" s="22"/>
      <c r="AH206" s="22"/>
      <c r="AI206" s="22"/>
      <c r="AJ206" s="22"/>
      <c r="AK206" s="22"/>
      <c r="AL206" s="22"/>
      <c r="AM206" s="22"/>
      <c r="AN206" s="22"/>
      <c r="AO206" s="22"/>
      <c r="AP206" s="22"/>
      <c r="AQ206" s="22"/>
      <c r="AR206" s="22"/>
      <c r="AS206" s="22"/>
    </row>
    <row r="207" spans="1:45" x14ac:dyDescent="0.3">
      <c r="A207" s="22"/>
      <c r="B207" s="71"/>
      <c r="C207" s="22"/>
      <c r="D207" s="23"/>
      <c r="E207" s="22"/>
      <c r="F207" s="22"/>
      <c r="G207" s="22"/>
      <c r="H207" s="23"/>
      <c r="I207" s="22"/>
      <c r="J207" s="22"/>
      <c r="K207" s="22"/>
      <c r="L207" s="23"/>
      <c r="M207" s="71"/>
      <c r="N207" s="71"/>
      <c r="O207" s="22"/>
      <c r="P207" s="22"/>
      <c r="Q207" s="22"/>
      <c r="R207" s="71"/>
      <c r="AC207" s="22"/>
      <c r="AD207" s="22"/>
      <c r="AE207" s="22"/>
      <c r="AF207" s="22"/>
      <c r="AG207" s="22"/>
      <c r="AH207" s="22"/>
      <c r="AI207" s="22"/>
      <c r="AJ207" s="22"/>
      <c r="AK207" s="22"/>
      <c r="AL207" s="22"/>
      <c r="AM207" s="22"/>
      <c r="AN207" s="22"/>
      <c r="AO207" s="22"/>
      <c r="AP207" s="22"/>
      <c r="AQ207" s="22"/>
      <c r="AR207" s="22"/>
      <c r="AS207" s="22"/>
    </row>
    <row r="208" spans="1:45" x14ac:dyDescent="0.3">
      <c r="A208" s="22"/>
      <c r="B208" s="71"/>
      <c r="C208" s="22"/>
      <c r="D208" s="23"/>
      <c r="E208" s="22"/>
      <c r="F208" s="22"/>
      <c r="G208" s="22"/>
      <c r="H208" s="23"/>
      <c r="I208" s="22"/>
      <c r="J208" s="22"/>
      <c r="K208" s="22"/>
      <c r="L208" s="23"/>
      <c r="M208" s="71"/>
      <c r="N208" s="71"/>
      <c r="O208" s="22"/>
      <c r="P208" s="22"/>
      <c r="Q208" s="22"/>
      <c r="R208" s="71"/>
      <c r="AC208" s="22"/>
      <c r="AD208" s="22"/>
      <c r="AE208" s="22"/>
      <c r="AF208" s="22"/>
      <c r="AG208" s="22"/>
      <c r="AH208" s="22"/>
      <c r="AI208" s="22"/>
      <c r="AJ208" s="22"/>
      <c r="AK208" s="22"/>
      <c r="AL208" s="22"/>
      <c r="AM208" s="22"/>
      <c r="AN208" s="22"/>
      <c r="AO208" s="22"/>
      <c r="AP208" s="22"/>
      <c r="AQ208" s="22"/>
      <c r="AR208" s="22"/>
      <c r="AS208" s="22"/>
    </row>
    <row r="209" spans="1:45" x14ac:dyDescent="0.3">
      <c r="A209" s="22"/>
      <c r="B209" s="71"/>
      <c r="C209" s="22"/>
      <c r="D209" s="23"/>
      <c r="E209" s="22"/>
      <c r="F209" s="22"/>
      <c r="G209" s="22"/>
      <c r="H209" s="23"/>
      <c r="I209" s="22"/>
      <c r="J209" s="22"/>
      <c r="K209" s="22"/>
      <c r="L209" s="23"/>
      <c r="M209" s="71"/>
      <c r="N209" s="71"/>
      <c r="O209" s="22"/>
      <c r="P209" s="22"/>
      <c r="Q209" s="22"/>
      <c r="R209" s="71"/>
      <c r="AC209" s="22"/>
      <c r="AD209" s="22"/>
      <c r="AE209" s="22"/>
      <c r="AF209" s="22"/>
      <c r="AG209" s="22"/>
      <c r="AH209" s="22"/>
      <c r="AI209" s="22"/>
      <c r="AJ209" s="22"/>
      <c r="AK209" s="22"/>
      <c r="AL209" s="22"/>
      <c r="AM209" s="22"/>
      <c r="AN209" s="22"/>
      <c r="AO209" s="22"/>
      <c r="AP209" s="22"/>
      <c r="AQ209" s="22"/>
      <c r="AR209" s="22"/>
      <c r="AS209" s="22"/>
    </row>
    <row r="210" spans="1:45" x14ac:dyDescent="0.3">
      <c r="A210" s="22"/>
      <c r="B210" s="71"/>
      <c r="C210" s="22"/>
      <c r="D210" s="23"/>
      <c r="E210" s="22"/>
      <c r="F210" s="22"/>
      <c r="G210" s="22"/>
      <c r="H210" s="23"/>
      <c r="I210" s="22"/>
      <c r="J210" s="22"/>
      <c r="K210" s="22"/>
      <c r="L210" s="23"/>
      <c r="M210" s="71"/>
      <c r="N210" s="71"/>
      <c r="O210" s="22"/>
      <c r="P210" s="22"/>
      <c r="Q210" s="22"/>
      <c r="R210" s="71"/>
      <c r="AC210" s="22"/>
      <c r="AD210" s="22"/>
      <c r="AE210" s="22"/>
      <c r="AF210" s="22"/>
      <c r="AG210" s="22"/>
      <c r="AH210" s="22"/>
      <c r="AI210" s="22"/>
      <c r="AJ210" s="22"/>
      <c r="AK210" s="22"/>
      <c r="AL210" s="22"/>
      <c r="AM210" s="22"/>
      <c r="AN210" s="22"/>
      <c r="AO210" s="22"/>
      <c r="AP210" s="22"/>
      <c r="AQ210" s="22"/>
      <c r="AR210" s="22"/>
      <c r="AS210" s="22"/>
    </row>
    <row r="211" spans="1:45" x14ac:dyDescent="0.3">
      <c r="A211" s="22"/>
      <c r="B211" s="71"/>
      <c r="C211" s="22"/>
      <c r="D211" s="23"/>
      <c r="E211" s="22"/>
      <c r="F211" s="22"/>
      <c r="G211" s="22"/>
      <c r="H211" s="23"/>
      <c r="I211" s="22"/>
      <c r="J211" s="22"/>
      <c r="K211" s="22"/>
      <c r="L211" s="23"/>
      <c r="M211" s="71"/>
      <c r="N211" s="71"/>
      <c r="O211" s="22"/>
      <c r="P211" s="22"/>
      <c r="Q211" s="22"/>
      <c r="R211" s="71"/>
      <c r="AC211" s="22"/>
      <c r="AD211" s="22"/>
      <c r="AE211" s="22"/>
      <c r="AF211" s="22"/>
      <c r="AG211" s="22"/>
      <c r="AH211" s="22"/>
      <c r="AI211" s="22"/>
      <c r="AJ211" s="22"/>
      <c r="AK211" s="22"/>
      <c r="AL211" s="22"/>
      <c r="AM211" s="22"/>
      <c r="AN211" s="22"/>
      <c r="AO211" s="22"/>
      <c r="AP211" s="22"/>
      <c r="AQ211" s="22"/>
      <c r="AR211" s="22"/>
      <c r="AS211" s="22"/>
    </row>
    <row r="212" spans="1:45" x14ac:dyDescent="0.3">
      <c r="A212" s="22"/>
      <c r="B212" s="71"/>
      <c r="C212" s="22"/>
      <c r="D212" s="23"/>
      <c r="E212" s="22"/>
      <c r="F212" s="22"/>
      <c r="G212" s="22"/>
      <c r="H212" s="23"/>
      <c r="I212" s="22"/>
      <c r="J212" s="22"/>
      <c r="K212" s="22"/>
      <c r="L212" s="23"/>
      <c r="M212" s="71"/>
      <c r="N212" s="71"/>
      <c r="O212" s="22"/>
      <c r="P212" s="22"/>
      <c r="Q212" s="22"/>
      <c r="R212" s="71"/>
      <c r="AC212" s="22"/>
      <c r="AD212" s="22"/>
      <c r="AE212" s="22"/>
      <c r="AF212" s="22"/>
      <c r="AG212" s="22"/>
      <c r="AH212" s="22"/>
      <c r="AI212" s="22"/>
      <c r="AJ212" s="22"/>
      <c r="AK212" s="22"/>
      <c r="AL212" s="22"/>
      <c r="AM212" s="22"/>
      <c r="AN212" s="22"/>
      <c r="AO212" s="22"/>
      <c r="AP212" s="22"/>
      <c r="AQ212" s="22"/>
      <c r="AR212" s="22"/>
      <c r="AS212" s="22"/>
    </row>
    <row r="213" spans="1:45" x14ac:dyDescent="0.3">
      <c r="A213" s="22"/>
      <c r="B213" s="71"/>
      <c r="C213" s="22"/>
      <c r="D213" s="23"/>
      <c r="E213" s="22"/>
      <c r="F213" s="22"/>
      <c r="G213" s="22"/>
      <c r="H213" s="23"/>
      <c r="I213" s="22"/>
      <c r="J213" s="22"/>
      <c r="K213" s="22"/>
      <c r="L213" s="23"/>
      <c r="M213" s="71"/>
      <c r="N213" s="71"/>
      <c r="O213" s="22"/>
      <c r="P213" s="22"/>
      <c r="Q213" s="22"/>
      <c r="R213" s="71"/>
      <c r="AC213" s="22"/>
      <c r="AD213" s="22"/>
      <c r="AE213" s="22"/>
      <c r="AF213" s="22"/>
      <c r="AG213" s="22"/>
      <c r="AH213" s="22"/>
      <c r="AI213" s="22"/>
      <c r="AJ213" s="22"/>
      <c r="AK213" s="22"/>
      <c r="AL213" s="22"/>
      <c r="AM213" s="22"/>
      <c r="AN213" s="22"/>
      <c r="AO213" s="22"/>
      <c r="AP213" s="22"/>
      <c r="AQ213" s="22"/>
      <c r="AR213" s="22"/>
      <c r="AS213" s="22"/>
    </row>
    <row r="214" spans="1:45" x14ac:dyDescent="0.3">
      <c r="A214" s="22"/>
      <c r="B214" s="71"/>
      <c r="C214" s="22"/>
      <c r="D214" s="23"/>
      <c r="E214" s="22"/>
      <c r="F214" s="22"/>
      <c r="G214" s="22"/>
      <c r="H214" s="23"/>
      <c r="I214" s="22"/>
      <c r="J214" s="22"/>
      <c r="K214" s="22"/>
      <c r="L214" s="23"/>
      <c r="M214" s="71"/>
      <c r="N214" s="71"/>
      <c r="O214" s="22"/>
      <c r="P214" s="22"/>
      <c r="Q214" s="22"/>
      <c r="R214" s="71"/>
      <c r="AC214" s="22"/>
      <c r="AD214" s="22"/>
      <c r="AE214" s="22"/>
      <c r="AF214" s="22"/>
      <c r="AG214" s="22"/>
      <c r="AH214" s="22"/>
      <c r="AI214" s="22"/>
      <c r="AJ214" s="22"/>
      <c r="AK214" s="22"/>
      <c r="AL214" s="22"/>
      <c r="AM214" s="22"/>
      <c r="AN214" s="22"/>
      <c r="AO214" s="22"/>
      <c r="AP214" s="22"/>
      <c r="AQ214" s="22"/>
      <c r="AR214" s="22"/>
      <c r="AS214" s="22"/>
    </row>
    <row r="215" spans="1:45" x14ac:dyDescent="0.3">
      <c r="A215" s="22"/>
      <c r="B215" s="71"/>
      <c r="C215" s="22"/>
      <c r="D215" s="23"/>
      <c r="E215" s="22"/>
      <c r="F215" s="22"/>
      <c r="G215" s="22"/>
      <c r="H215" s="23"/>
      <c r="I215" s="22"/>
      <c r="J215" s="22"/>
      <c r="K215" s="22"/>
      <c r="L215" s="23"/>
      <c r="M215" s="71"/>
      <c r="N215" s="71"/>
      <c r="O215" s="22"/>
      <c r="P215" s="22"/>
      <c r="Q215" s="22"/>
      <c r="R215" s="71"/>
      <c r="AC215" s="22"/>
      <c r="AD215" s="22"/>
      <c r="AE215" s="22"/>
      <c r="AF215" s="22"/>
      <c r="AG215" s="22"/>
      <c r="AH215" s="22"/>
      <c r="AI215" s="22"/>
      <c r="AJ215" s="22"/>
      <c r="AK215" s="22"/>
      <c r="AL215" s="22"/>
      <c r="AM215" s="22"/>
      <c r="AN215" s="22"/>
      <c r="AO215" s="22"/>
      <c r="AP215" s="22"/>
      <c r="AQ215" s="22"/>
      <c r="AR215" s="22"/>
      <c r="AS215" s="22"/>
    </row>
    <row r="216" spans="1:45" x14ac:dyDescent="0.3">
      <c r="A216" s="22"/>
      <c r="B216" s="71"/>
      <c r="C216" s="22"/>
      <c r="D216" s="23"/>
      <c r="E216" s="22"/>
      <c r="F216" s="22"/>
      <c r="G216" s="22"/>
      <c r="H216" s="23"/>
      <c r="I216" s="22"/>
      <c r="J216" s="22"/>
      <c r="K216" s="22"/>
      <c r="L216" s="23"/>
      <c r="M216" s="71"/>
      <c r="N216" s="71"/>
      <c r="O216" s="22"/>
      <c r="P216" s="22"/>
      <c r="Q216" s="22"/>
      <c r="R216" s="71"/>
      <c r="AC216" s="22"/>
      <c r="AD216" s="22"/>
      <c r="AE216" s="22"/>
      <c r="AF216" s="22"/>
      <c r="AG216" s="22"/>
      <c r="AH216" s="22"/>
      <c r="AI216" s="22"/>
      <c r="AJ216" s="22"/>
      <c r="AK216" s="22"/>
      <c r="AL216" s="22"/>
      <c r="AM216" s="22"/>
      <c r="AN216" s="22"/>
      <c r="AO216" s="22"/>
      <c r="AP216" s="22"/>
      <c r="AQ216" s="22"/>
      <c r="AR216" s="22"/>
      <c r="AS216" s="22"/>
    </row>
    <row r="217" spans="1:45" x14ac:dyDescent="0.3">
      <c r="A217" s="22"/>
      <c r="B217" s="71"/>
      <c r="C217" s="22"/>
      <c r="D217" s="23"/>
      <c r="E217" s="22"/>
      <c r="F217" s="22"/>
      <c r="G217" s="22"/>
      <c r="H217" s="23"/>
      <c r="I217" s="22"/>
      <c r="J217" s="22"/>
      <c r="K217" s="22"/>
      <c r="L217" s="23"/>
      <c r="M217" s="71"/>
      <c r="N217" s="71"/>
      <c r="O217" s="22"/>
      <c r="P217" s="22"/>
      <c r="Q217" s="22"/>
      <c r="R217" s="71"/>
      <c r="AC217" s="22"/>
      <c r="AD217" s="22"/>
      <c r="AE217" s="22"/>
      <c r="AF217" s="22"/>
      <c r="AG217" s="22"/>
      <c r="AH217" s="22"/>
      <c r="AI217" s="22"/>
      <c r="AJ217" s="22"/>
      <c r="AK217" s="22"/>
      <c r="AL217" s="22"/>
      <c r="AM217" s="22"/>
      <c r="AN217" s="22"/>
      <c r="AO217" s="22"/>
      <c r="AP217" s="22"/>
      <c r="AQ217" s="22"/>
      <c r="AR217" s="22"/>
      <c r="AS217" s="22"/>
    </row>
    <row r="218" spans="1:45" x14ac:dyDescent="0.3">
      <c r="A218" s="22"/>
      <c r="B218" s="71"/>
      <c r="C218" s="22"/>
      <c r="D218" s="23"/>
      <c r="E218" s="22"/>
      <c r="F218" s="22"/>
      <c r="G218" s="22"/>
      <c r="H218" s="23"/>
      <c r="I218" s="22"/>
      <c r="J218" s="22"/>
      <c r="K218" s="22"/>
      <c r="L218" s="23"/>
      <c r="M218" s="71"/>
      <c r="N218" s="71"/>
      <c r="O218" s="22"/>
      <c r="P218" s="22"/>
      <c r="Q218" s="22"/>
      <c r="R218" s="71"/>
      <c r="AC218" s="22"/>
      <c r="AD218" s="22"/>
      <c r="AE218" s="22"/>
      <c r="AF218" s="22"/>
      <c r="AG218" s="22"/>
      <c r="AH218" s="22"/>
      <c r="AI218" s="22"/>
      <c r="AJ218" s="22"/>
      <c r="AK218" s="22"/>
      <c r="AL218" s="22"/>
      <c r="AM218" s="22"/>
      <c r="AN218" s="22"/>
      <c r="AO218" s="22"/>
      <c r="AP218" s="22"/>
      <c r="AQ218" s="22"/>
      <c r="AR218" s="22"/>
      <c r="AS218" s="22"/>
    </row>
    <row r="219" spans="1:45" x14ac:dyDescent="0.3">
      <c r="A219" s="22"/>
      <c r="B219" s="71"/>
      <c r="C219" s="22"/>
      <c r="D219" s="23"/>
      <c r="E219" s="22"/>
      <c r="F219" s="22"/>
      <c r="G219" s="22"/>
      <c r="H219" s="23"/>
      <c r="I219" s="22"/>
      <c r="J219" s="22"/>
      <c r="K219" s="22"/>
      <c r="L219" s="23"/>
      <c r="M219" s="71"/>
      <c r="N219" s="71"/>
      <c r="O219" s="22"/>
      <c r="P219" s="22"/>
      <c r="Q219" s="22"/>
      <c r="R219" s="71"/>
      <c r="AC219" s="22"/>
      <c r="AD219" s="22"/>
      <c r="AE219" s="22"/>
      <c r="AF219" s="22"/>
      <c r="AG219" s="22"/>
      <c r="AH219" s="22"/>
      <c r="AI219" s="22"/>
      <c r="AJ219" s="22"/>
      <c r="AK219" s="22"/>
      <c r="AL219" s="22"/>
      <c r="AM219" s="22"/>
      <c r="AN219" s="22"/>
      <c r="AO219" s="22"/>
      <c r="AP219" s="22"/>
      <c r="AQ219" s="22"/>
      <c r="AR219" s="22"/>
      <c r="AS219" s="22"/>
    </row>
    <row r="220" spans="1:45" x14ac:dyDescent="0.3">
      <c r="A220" s="22"/>
      <c r="B220" s="71"/>
      <c r="C220" s="22"/>
      <c r="D220" s="23"/>
      <c r="E220" s="22"/>
      <c r="F220" s="22"/>
      <c r="G220" s="22"/>
      <c r="H220" s="23"/>
      <c r="I220" s="22"/>
      <c r="J220" s="22"/>
      <c r="K220" s="22"/>
      <c r="L220" s="23"/>
      <c r="M220" s="71"/>
      <c r="N220" s="71"/>
      <c r="O220" s="22"/>
      <c r="P220" s="22"/>
      <c r="Q220" s="22"/>
      <c r="R220" s="71"/>
      <c r="AC220" s="22"/>
      <c r="AD220" s="22"/>
      <c r="AE220" s="22"/>
      <c r="AF220" s="22"/>
      <c r="AG220" s="22"/>
      <c r="AH220" s="22"/>
      <c r="AI220" s="22"/>
      <c r="AJ220" s="22"/>
      <c r="AK220" s="22"/>
      <c r="AL220" s="22"/>
      <c r="AM220" s="22"/>
      <c r="AN220" s="22"/>
      <c r="AO220" s="22"/>
      <c r="AP220" s="22"/>
      <c r="AQ220" s="22"/>
      <c r="AR220" s="22"/>
      <c r="AS220" s="22"/>
    </row>
    <row r="221" spans="1:45" x14ac:dyDescent="0.3">
      <c r="A221" s="22"/>
      <c r="B221" s="71"/>
      <c r="C221" s="22"/>
      <c r="D221" s="23"/>
      <c r="E221" s="22"/>
      <c r="F221" s="22"/>
      <c r="G221" s="22"/>
      <c r="H221" s="23"/>
      <c r="I221" s="22"/>
      <c r="J221" s="22"/>
      <c r="K221" s="22"/>
      <c r="L221" s="23"/>
      <c r="M221" s="71"/>
      <c r="N221" s="71"/>
      <c r="O221" s="22"/>
      <c r="P221" s="22"/>
      <c r="Q221" s="22"/>
      <c r="R221" s="71"/>
      <c r="AC221" s="22"/>
      <c r="AD221" s="22"/>
      <c r="AE221" s="22"/>
      <c r="AF221" s="22"/>
      <c r="AG221" s="22"/>
      <c r="AH221" s="22"/>
      <c r="AI221" s="22"/>
      <c r="AJ221" s="22"/>
      <c r="AK221" s="22"/>
      <c r="AL221" s="22"/>
      <c r="AM221" s="22"/>
      <c r="AN221" s="22"/>
      <c r="AO221" s="22"/>
      <c r="AP221" s="22"/>
      <c r="AQ221" s="22"/>
      <c r="AR221" s="22"/>
      <c r="AS221" s="22"/>
    </row>
    <row r="222" spans="1:45" x14ac:dyDescent="0.3">
      <c r="A222" s="22"/>
      <c r="B222" s="71"/>
      <c r="C222" s="22"/>
      <c r="D222" s="23"/>
      <c r="E222" s="22"/>
      <c r="F222" s="22"/>
      <c r="G222" s="22"/>
      <c r="H222" s="23"/>
      <c r="I222" s="22"/>
      <c r="J222" s="22"/>
      <c r="K222" s="22"/>
      <c r="L222" s="23"/>
      <c r="M222" s="71"/>
      <c r="N222" s="71"/>
      <c r="O222" s="22"/>
      <c r="P222" s="22"/>
      <c r="Q222" s="22"/>
      <c r="R222" s="71"/>
      <c r="AC222" s="22"/>
      <c r="AD222" s="22"/>
      <c r="AE222" s="22"/>
      <c r="AF222" s="22"/>
      <c r="AG222" s="22"/>
      <c r="AH222" s="22"/>
      <c r="AI222" s="22"/>
      <c r="AJ222" s="22"/>
      <c r="AK222" s="22"/>
      <c r="AL222" s="22"/>
      <c r="AM222" s="22"/>
      <c r="AN222" s="22"/>
      <c r="AO222" s="22"/>
      <c r="AP222" s="22"/>
      <c r="AQ222" s="22"/>
      <c r="AR222" s="22"/>
      <c r="AS222" s="22"/>
    </row>
    <row r="223" spans="1:45" x14ac:dyDescent="0.3">
      <c r="A223" s="22"/>
      <c r="B223" s="71"/>
      <c r="C223" s="22"/>
      <c r="D223" s="23"/>
      <c r="E223" s="22"/>
      <c r="F223" s="22"/>
      <c r="G223" s="22"/>
      <c r="H223" s="23"/>
      <c r="I223" s="22"/>
      <c r="J223" s="22"/>
      <c r="K223" s="22"/>
      <c r="L223" s="23"/>
      <c r="M223" s="71"/>
      <c r="N223" s="71"/>
      <c r="O223" s="22"/>
      <c r="P223" s="22"/>
      <c r="Q223" s="22"/>
      <c r="R223" s="71"/>
      <c r="AC223" s="22"/>
      <c r="AD223" s="22"/>
      <c r="AE223" s="22"/>
      <c r="AF223" s="22"/>
      <c r="AG223" s="22"/>
      <c r="AH223" s="22"/>
      <c r="AI223" s="22"/>
      <c r="AJ223" s="22"/>
      <c r="AK223" s="22"/>
      <c r="AL223" s="22"/>
      <c r="AM223" s="22"/>
      <c r="AN223" s="22"/>
      <c r="AO223" s="22"/>
      <c r="AP223" s="22"/>
      <c r="AQ223" s="22"/>
      <c r="AR223" s="22"/>
      <c r="AS223" s="22"/>
    </row>
    <row r="224" spans="1:45" x14ac:dyDescent="0.3">
      <c r="A224" s="22"/>
      <c r="B224" s="71"/>
      <c r="C224" s="22"/>
      <c r="D224" s="23"/>
      <c r="E224" s="22"/>
      <c r="F224" s="22"/>
      <c r="G224" s="22"/>
      <c r="H224" s="23"/>
      <c r="I224" s="22"/>
      <c r="J224" s="22"/>
      <c r="K224" s="22"/>
      <c r="L224" s="23"/>
      <c r="M224" s="71"/>
      <c r="N224" s="71"/>
      <c r="O224" s="22"/>
      <c r="P224" s="22"/>
      <c r="Q224" s="22"/>
      <c r="R224" s="71"/>
      <c r="AC224" s="22"/>
      <c r="AD224" s="22"/>
      <c r="AE224" s="22"/>
      <c r="AF224" s="22"/>
      <c r="AG224" s="22"/>
      <c r="AH224" s="22"/>
      <c r="AI224" s="22"/>
      <c r="AJ224" s="22"/>
      <c r="AK224" s="22"/>
      <c r="AL224" s="22"/>
      <c r="AM224" s="22"/>
      <c r="AN224" s="22"/>
      <c r="AO224" s="22"/>
      <c r="AP224" s="22"/>
      <c r="AQ224" s="22"/>
      <c r="AR224" s="22"/>
      <c r="AS224" s="22"/>
    </row>
    <row r="225" spans="1:45" x14ac:dyDescent="0.3">
      <c r="A225" s="22"/>
      <c r="B225" s="71"/>
      <c r="C225" s="22"/>
      <c r="D225" s="23"/>
      <c r="E225" s="22"/>
      <c r="F225" s="22"/>
      <c r="G225" s="22"/>
      <c r="H225" s="23"/>
      <c r="I225" s="22"/>
      <c r="J225" s="22"/>
      <c r="K225" s="22"/>
      <c r="L225" s="23"/>
      <c r="M225" s="71"/>
      <c r="N225" s="71"/>
      <c r="O225" s="22"/>
      <c r="P225" s="22"/>
      <c r="Q225" s="22"/>
      <c r="R225" s="71"/>
      <c r="AC225" s="22"/>
      <c r="AD225" s="22"/>
      <c r="AE225" s="22"/>
      <c r="AF225" s="22"/>
      <c r="AG225" s="22"/>
      <c r="AH225" s="22"/>
      <c r="AI225" s="22"/>
      <c r="AJ225" s="22"/>
      <c r="AK225" s="22"/>
      <c r="AL225" s="22"/>
      <c r="AM225" s="22"/>
      <c r="AN225" s="22"/>
      <c r="AO225" s="22"/>
      <c r="AP225" s="22"/>
      <c r="AQ225" s="22"/>
      <c r="AR225" s="22"/>
      <c r="AS225" s="22"/>
    </row>
    <row r="226" spans="1:45" x14ac:dyDescent="0.3">
      <c r="A226" s="22"/>
      <c r="B226" s="71"/>
      <c r="C226" s="22"/>
      <c r="D226" s="23"/>
      <c r="E226" s="22"/>
      <c r="F226" s="22"/>
      <c r="G226" s="22"/>
      <c r="H226" s="23"/>
      <c r="I226" s="22"/>
      <c r="J226" s="22"/>
      <c r="K226" s="22"/>
      <c r="L226" s="23"/>
      <c r="M226" s="71"/>
      <c r="N226" s="71"/>
      <c r="O226" s="22"/>
      <c r="P226" s="22"/>
      <c r="Q226" s="22"/>
      <c r="R226" s="71"/>
      <c r="AC226" s="22"/>
      <c r="AD226" s="22"/>
      <c r="AE226" s="22"/>
      <c r="AF226" s="22"/>
      <c r="AG226" s="22"/>
      <c r="AH226" s="22"/>
      <c r="AI226" s="22"/>
      <c r="AJ226" s="22"/>
      <c r="AK226" s="22"/>
      <c r="AL226" s="22"/>
      <c r="AM226" s="22"/>
      <c r="AN226" s="22"/>
      <c r="AO226" s="22"/>
      <c r="AP226" s="22"/>
      <c r="AQ226" s="22"/>
      <c r="AR226" s="22"/>
      <c r="AS226" s="22"/>
    </row>
    <row r="227" spans="1:45" x14ac:dyDescent="0.3">
      <c r="A227" s="22"/>
      <c r="B227" s="71"/>
      <c r="C227" s="22"/>
      <c r="D227" s="23"/>
      <c r="E227" s="22"/>
      <c r="F227" s="22"/>
      <c r="G227" s="22"/>
      <c r="H227" s="23"/>
      <c r="I227" s="22"/>
      <c r="J227" s="22"/>
      <c r="K227" s="22"/>
      <c r="L227" s="23"/>
      <c r="M227" s="71"/>
      <c r="N227" s="71"/>
      <c r="O227" s="22"/>
      <c r="P227" s="22"/>
      <c r="Q227" s="22"/>
      <c r="R227" s="71"/>
      <c r="AC227" s="22"/>
      <c r="AD227" s="22"/>
      <c r="AE227" s="22"/>
      <c r="AF227" s="22"/>
      <c r="AG227" s="22"/>
      <c r="AH227" s="22"/>
      <c r="AI227" s="22"/>
      <c r="AJ227" s="22"/>
      <c r="AK227" s="22"/>
      <c r="AL227" s="22"/>
      <c r="AM227" s="22"/>
      <c r="AN227" s="22"/>
      <c r="AO227" s="22"/>
      <c r="AP227" s="22"/>
      <c r="AQ227" s="22"/>
      <c r="AR227" s="22"/>
      <c r="AS227" s="22"/>
    </row>
    <row r="228" spans="1:45" x14ac:dyDescent="0.3">
      <c r="A228" s="22"/>
      <c r="B228" s="71"/>
      <c r="C228" s="22"/>
      <c r="D228" s="23"/>
      <c r="E228" s="22"/>
      <c r="F228" s="22"/>
      <c r="G228" s="22"/>
      <c r="H228" s="23"/>
      <c r="I228" s="22"/>
      <c r="J228" s="22"/>
      <c r="K228" s="22"/>
      <c r="L228" s="23"/>
      <c r="M228" s="71"/>
      <c r="N228" s="71"/>
      <c r="O228" s="22"/>
      <c r="P228" s="22"/>
      <c r="Q228" s="22"/>
      <c r="R228" s="71"/>
      <c r="AC228" s="22"/>
      <c r="AD228" s="22"/>
      <c r="AE228" s="22"/>
      <c r="AF228" s="22"/>
      <c r="AG228" s="22"/>
      <c r="AH228" s="22"/>
      <c r="AI228" s="22"/>
      <c r="AJ228" s="22"/>
      <c r="AK228" s="22"/>
      <c r="AL228" s="22"/>
      <c r="AM228" s="22"/>
      <c r="AN228" s="22"/>
      <c r="AO228" s="22"/>
      <c r="AP228" s="22"/>
      <c r="AQ228" s="22"/>
      <c r="AR228" s="22"/>
      <c r="AS228" s="22"/>
    </row>
    <row r="229" spans="1:45" x14ac:dyDescent="0.3">
      <c r="A229" s="22"/>
      <c r="B229" s="71"/>
      <c r="C229" s="22"/>
      <c r="D229" s="23"/>
      <c r="E229" s="22"/>
      <c r="F229" s="22"/>
      <c r="G229" s="22"/>
      <c r="H229" s="23"/>
      <c r="I229" s="22"/>
      <c r="J229" s="22"/>
      <c r="K229" s="22"/>
      <c r="L229" s="23"/>
      <c r="M229" s="71"/>
      <c r="N229" s="71"/>
      <c r="O229" s="22"/>
      <c r="P229" s="22"/>
      <c r="Q229" s="22"/>
      <c r="R229" s="71"/>
      <c r="AC229" s="22"/>
      <c r="AD229" s="22"/>
      <c r="AE229" s="22"/>
      <c r="AF229" s="22"/>
      <c r="AG229" s="22"/>
      <c r="AH229" s="22"/>
      <c r="AI229" s="22"/>
      <c r="AJ229" s="22"/>
      <c r="AK229" s="22"/>
      <c r="AL229" s="22"/>
      <c r="AM229" s="22"/>
      <c r="AN229" s="22"/>
      <c r="AO229" s="22"/>
      <c r="AP229" s="22"/>
      <c r="AQ229" s="22"/>
      <c r="AR229" s="22"/>
      <c r="AS229" s="22"/>
    </row>
    <row r="230" spans="1:45" x14ac:dyDescent="0.3">
      <c r="A230" s="22"/>
      <c r="B230" s="71"/>
      <c r="C230" s="22"/>
      <c r="D230" s="23"/>
      <c r="E230" s="22"/>
      <c r="F230" s="22"/>
      <c r="G230" s="22"/>
      <c r="H230" s="23"/>
      <c r="I230" s="22"/>
      <c r="J230" s="22"/>
      <c r="K230" s="22"/>
      <c r="L230" s="23"/>
      <c r="M230" s="71"/>
      <c r="N230" s="71"/>
      <c r="O230" s="22"/>
      <c r="P230" s="22"/>
      <c r="Q230" s="22"/>
      <c r="R230" s="71"/>
      <c r="AC230" s="22"/>
      <c r="AD230" s="22"/>
      <c r="AE230" s="22"/>
      <c r="AF230" s="22"/>
      <c r="AG230" s="22"/>
      <c r="AH230" s="22"/>
      <c r="AI230" s="22"/>
      <c r="AJ230" s="22"/>
      <c r="AK230" s="22"/>
      <c r="AL230" s="22"/>
      <c r="AM230" s="22"/>
      <c r="AN230" s="22"/>
      <c r="AO230" s="22"/>
      <c r="AP230" s="22"/>
      <c r="AQ230" s="22"/>
      <c r="AR230" s="22"/>
      <c r="AS230" s="22"/>
    </row>
    <row r="231" spans="1:45" x14ac:dyDescent="0.3">
      <c r="A231" s="22"/>
      <c r="B231" s="71"/>
      <c r="C231" s="22"/>
      <c r="D231" s="23"/>
      <c r="E231" s="22"/>
      <c r="F231" s="22"/>
      <c r="G231" s="22"/>
      <c r="H231" s="23"/>
      <c r="I231" s="22"/>
      <c r="J231" s="22"/>
      <c r="K231" s="22"/>
      <c r="L231" s="23"/>
      <c r="M231" s="71"/>
      <c r="N231" s="71"/>
      <c r="O231" s="22"/>
      <c r="P231" s="22"/>
      <c r="Q231" s="22"/>
      <c r="R231" s="71"/>
      <c r="AC231" s="22"/>
      <c r="AD231" s="22"/>
      <c r="AE231" s="22"/>
      <c r="AF231" s="22"/>
      <c r="AG231" s="22"/>
      <c r="AH231" s="22"/>
      <c r="AI231" s="22"/>
      <c r="AJ231" s="22"/>
      <c r="AK231" s="22"/>
      <c r="AL231" s="22"/>
      <c r="AM231" s="22"/>
      <c r="AN231" s="22"/>
      <c r="AO231" s="22"/>
      <c r="AP231" s="22"/>
      <c r="AQ231" s="22"/>
      <c r="AR231" s="22"/>
      <c r="AS231" s="22"/>
    </row>
    <row r="232" spans="1:45" x14ac:dyDescent="0.3">
      <c r="A232" s="22"/>
      <c r="B232" s="71"/>
      <c r="C232" s="22"/>
      <c r="D232" s="23"/>
      <c r="E232" s="22"/>
      <c r="F232" s="22"/>
      <c r="G232" s="22"/>
      <c r="H232" s="23"/>
      <c r="I232" s="22"/>
      <c r="J232" s="22"/>
      <c r="K232" s="22"/>
      <c r="L232" s="23"/>
      <c r="M232" s="71"/>
      <c r="N232" s="71"/>
      <c r="O232" s="22"/>
      <c r="P232" s="22"/>
      <c r="Q232" s="22"/>
      <c r="R232" s="71"/>
      <c r="AC232" s="22"/>
      <c r="AD232" s="22"/>
      <c r="AE232" s="22"/>
      <c r="AF232" s="22"/>
      <c r="AG232" s="22"/>
      <c r="AH232" s="22"/>
      <c r="AI232" s="22"/>
      <c r="AJ232" s="22"/>
      <c r="AK232" s="22"/>
      <c r="AL232" s="22"/>
      <c r="AM232" s="22"/>
      <c r="AN232" s="22"/>
      <c r="AO232" s="22"/>
      <c r="AP232" s="22"/>
      <c r="AQ232" s="22"/>
      <c r="AR232" s="22"/>
      <c r="AS232" s="22"/>
    </row>
    <row r="233" spans="1:45" x14ac:dyDescent="0.3">
      <c r="A233" s="22"/>
      <c r="B233" s="71"/>
      <c r="C233" s="22"/>
      <c r="D233" s="23"/>
      <c r="E233" s="22"/>
      <c r="F233" s="22"/>
      <c r="G233" s="22"/>
      <c r="H233" s="23"/>
      <c r="I233" s="22"/>
      <c r="J233" s="22"/>
      <c r="K233" s="22"/>
      <c r="L233" s="23"/>
      <c r="M233" s="71"/>
      <c r="N233" s="71"/>
      <c r="O233" s="22"/>
      <c r="P233" s="22"/>
      <c r="Q233" s="22"/>
      <c r="R233" s="71"/>
      <c r="AC233" s="22"/>
      <c r="AD233" s="22"/>
      <c r="AE233" s="22"/>
      <c r="AF233" s="22"/>
      <c r="AG233" s="22"/>
      <c r="AH233" s="22"/>
      <c r="AI233" s="22"/>
      <c r="AJ233" s="22"/>
      <c r="AK233" s="22"/>
      <c r="AL233" s="22"/>
      <c r="AM233" s="22"/>
      <c r="AN233" s="22"/>
      <c r="AO233" s="22"/>
      <c r="AP233" s="22"/>
      <c r="AQ233" s="22"/>
      <c r="AR233" s="22"/>
      <c r="AS233" s="22"/>
    </row>
    <row r="234" spans="1:45" x14ac:dyDescent="0.3">
      <c r="A234" s="22"/>
      <c r="B234" s="71"/>
      <c r="C234" s="22"/>
      <c r="D234" s="23"/>
      <c r="E234" s="22"/>
      <c r="F234" s="22"/>
      <c r="G234" s="22"/>
      <c r="H234" s="23"/>
      <c r="I234" s="22"/>
      <c r="J234" s="22"/>
      <c r="K234" s="22"/>
      <c r="L234" s="23"/>
      <c r="M234" s="71"/>
      <c r="N234" s="71"/>
      <c r="O234" s="22"/>
      <c r="P234" s="22"/>
      <c r="Q234" s="22"/>
      <c r="R234" s="71"/>
      <c r="AC234" s="22"/>
      <c r="AD234" s="22"/>
      <c r="AE234" s="22"/>
      <c r="AF234" s="22"/>
      <c r="AG234" s="22"/>
      <c r="AH234" s="22"/>
      <c r="AI234" s="22"/>
      <c r="AJ234" s="22"/>
      <c r="AK234" s="22"/>
      <c r="AL234" s="22"/>
      <c r="AM234" s="22"/>
      <c r="AN234" s="22"/>
      <c r="AO234" s="22"/>
      <c r="AP234" s="22"/>
      <c r="AQ234" s="22"/>
      <c r="AR234" s="22"/>
      <c r="AS234" s="22"/>
    </row>
    <row r="235" spans="1:45" x14ac:dyDescent="0.3">
      <c r="A235" s="22"/>
      <c r="B235" s="71"/>
      <c r="C235" s="22"/>
      <c r="D235" s="23"/>
      <c r="E235" s="22"/>
      <c r="F235" s="22"/>
      <c r="G235" s="22"/>
      <c r="H235" s="23"/>
      <c r="I235" s="22"/>
      <c r="J235" s="22"/>
      <c r="K235" s="22"/>
      <c r="L235" s="23"/>
      <c r="M235" s="71"/>
      <c r="N235" s="71"/>
      <c r="O235" s="22"/>
      <c r="P235" s="22"/>
      <c r="Q235" s="22"/>
      <c r="R235" s="71"/>
      <c r="AC235" s="22"/>
      <c r="AD235" s="22"/>
      <c r="AE235" s="22"/>
      <c r="AF235" s="22"/>
      <c r="AG235" s="22"/>
      <c r="AH235" s="22"/>
      <c r="AI235" s="22"/>
      <c r="AJ235" s="22"/>
      <c r="AK235" s="22"/>
      <c r="AL235" s="22"/>
      <c r="AM235" s="22"/>
      <c r="AN235" s="22"/>
      <c r="AO235" s="22"/>
      <c r="AP235" s="22"/>
      <c r="AQ235" s="22"/>
      <c r="AR235" s="22"/>
      <c r="AS235" s="22"/>
    </row>
    <row r="236" spans="1:45" x14ac:dyDescent="0.3">
      <c r="A236" s="22"/>
      <c r="B236" s="71"/>
      <c r="C236" s="22"/>
      <c r="D236" s="23"/>
      <c r="E236" s="22"/>
      <c r="F236" s="22"/>
      <c r="G236" s="22"/>
      <c r="H236" s="23"/>
      <c r="I236" s="22"/>
      <c r="J236" s="22"/>
      <c r="K236" s="22"/>
      <c r="L236" s="23"/>
      <c r="M236" s="71"/>
      <c r="N236" s="71"/>
      <c r="O236" s="22"/>
      <c r="P236" s="22"/>
      <c r="Q236" s="22"/>
      <c r="R236" s="71"/>
      <c r="AC236" s="22"/>
      <c r="AD236" s="22"/>
      <c r="AE236" s="22"/>
      <c r="AF236" s="22"/>
      <c r="AG236" s="22"/>
      <c r="AH236" s="22"/>
      <c r="AI236" s="22"/>
      <c r="AJ236" s="22"/>
      <c r="AK236" s="22"/>
      <c r="AL236" s="22"/>
      <c r="AM236" s="22"/>
      <c r="AN236" s="22"/>
      <c r="AO236" s="22"/>
      <c r="AP236" s="22"/>
      <c r="AQ236" s="22"/>
      <c r="AR236" s="22"/>
      <c r="AS236" s="22"/>
    </row>
    <row r="237" spans="1:45" x14ac:dyDescent="0.3">
      <c r="A237" s="22"/>
      <c r="B237" s="71"/>
      <c r="C237" s="22"/>
      <c r="D237" s="23"/>
      <c r="E237" s="22"/>
      <c r="F237" s="22"/>
      <c r="G237" s="22"/>
      <c r="H237" s="23"/>
      <c r="I237" s="22"/>
      <c r="J237" s="22"/>
      <c r="K237" s="22"/>
      <c r="L237" s="23"/>
      <c r="M237" s="71"/>
      <c r="N237" s="71"/>
      <c r="O237" s="22"/>
      <c r="P237" s="22"/>
      <c r="Q237" s="22"/>
      <c r="R237" s="71"/>
      <c r="AC237" s="22"/>
      <c r="AD237" s="22"/>
      <c r="AE237" s="22"/>
      <c r="AF237" s="22"/>
      <c r="AG237" s="22"/>
      <c r="AH237" s="22"/>
      <c r="AI237" s="22"/>
      <c r="AJ237" s="22"/>
      <c r="AK237" s="22"/>
      <c r="AL237" s="22"/>
      <c r="AM237" s="22"/>
      <c r="AN237" s="22"/>
      <c r="AO237" s="22"/>
      <c r="AP237" s="22"/>
      <c r="AQ237" s="22"/>
      <c r="AR237" s="22"/>
      <c r="AS237" s="22"/>
    </row>
    <row r="238" spans="1:45" x14ac:dyDescent="0.3">
      <c r="A238" s="22"/>
      <c r="B238" s="71"/>
      <c r="C238" s="22"/>
      <c r="D238" s="23"/>
      <c r="E238" s="22"/>
      <c r="F238" s="22"/>
      <c r="G238" s="22"/>
      <c r="H238" s="23"/>
      <c r="I238" s="22"/>
      <c r="J238" s="22"/>
      <c r="K238" s="22"/>
      <c r="L238" s="23"/>
      <c r="M238" s="71"/>
      <c r="N238" s="71"/>
      <c r="O238" s="22"/>
      <c r="P238" s="22"/>
      <c r="Q238" s="22"/>
      <c r="R238" s="71"/>
      <c r="AC238" s="22"/>
      <c r="AD238" s="22"/>
      <c r="AE238" s="22"/>
      <c r="AF238" s="22"/>
      <c r="AG238" s="22"/>
      <c r="AH238" s="22"/>
      <c r="AI238" s="22"/>
      <c r="AJ238" s="22"/>
      <c r="AK238" s="22"/>
      <c r="AL238" s="22"/>
      <c r="AM238" s="22"/>
      <c r="AN238" s="22"/>
      <c r="AO238" s="22"/>
      <c r="AP238" s="22"/>
      <c r="AQ238" s="22"/>
      <c r="AR238" s="22"/>
      <c r="AS238" s="22"/>
    </row>
    <row r="239" spans="1:45" x14ac:dyDescent="0.3">
      <c r="A239" s="22"/>
      <c r="B239" s="71"/>
      <c r="C239" s="22"/>
      <c r="D239" s="23"/>
      <c r="E239" s="22"/>
      <c r="F239" s="22"/>
      <c r="G239" s="22"/>
      <c r="H239" s="23"/>
      <c r="I239" s="22"/>
      <c r="J239" s="22"/>
      <c r="K239" s="22"/>
      <c r="L239" s="23"/>
      <c r="M239" s="71"/>
      <c r="N239" s="71"/>
      <c r="O239" s="22"/>
      <c r="P239" s="22"/>
      <c r="Q239" s="22"/>
      <c r="R239" s="71"/>
      <c r="AC239" s="22"/>
      <c r="AD239" s="22"/>
      <c r="AE239" s="22"/>
      <c r="AF239" s="22"/>
      <c r="AG239" s="22"/>
      <c r="AH239" s="22"/>
      <c r="AI239" s="22"/>
      <c r="AJ239" s="22"/>
      <c r="AK239" s="22"/>
      <c r="AL239" s="22"/>
      <c r="AM239" s="22"/>
      <c r="AN239" s="22"/>
      <c r="AO239" s="22"/>
      <c r="AP239" s="22"/>
      <c r="AQ239" s="22"/>
      <c r="AR239" s="22"/>
      <c r="AS239" s="22"/>
    </row>
    <row r="240" spans="1:45" x14ac:dyDescent="0.3">
      <c r="A240" s="22"/>
      <c r="B240" s="71"/>
      <c r="C240" s="22"/>
      <c r="D240" s="23"/>
      <c r="E240" s="22"/>
      <c r="F240" s="22"/>
      <c r="G240" s="22"/>
      <c r="H240" s="23"/>
      <c r="I240" s="22"/>
      <c r="J240" s="22"/>
      <c r="K240" s="22"/>
      <c r="L240" s="23"/>
      <c r="M240" s="71"/>
      <c r="N240" s="71"/>
      <c r="O240" s="22"/>
      <c r="P240" s="22"/>
      <c r="Q240" s="22"/>
      <c r="R240" s="71"/>
      <c r="AC240" s="22"/>
      <c r="AD240" s="22"/>
      <c r="AE240" s="22"/>
      <c r="AF240" s="22"/>
      <c r="AG240" s="22"/>
      <c r="AH240" s="22"/>
      <c r="AI240" s="22"/>
      <c r="AJ240" s="22"/>
      <c r="AK240" s="22"/>
      <c r="AL240" s="22"/>
      <c r="AM240" s="22"/>
      <c r="AN240" s="22"/>
      <c r="AO240" s="22"/>
      <c r="AP240" s="22"/>
      <c r="AQ240" s="22"/>
      <c r="AR240" s="22"/>
      <c r="AS240" s="22"/>
    </row>
    <row r="241" spans="1:45" x14ac:dyDescent="0.3">
      <c r="A241" s="22"/>
      <c r="B241" s="71"/>
      <c r="C241" s="22"/>
      <c r="D241" s="23"/>
      <c r="E241" s="22"/>
      <c r="F241" s="22"/>
      <c r="G241" s="22"/>
      <c r="H241" s="23"/>
      <c r="I241" s="22"/>
      <c r="J241" s="22"/>
      <c r="K241" s="22"/>
      <c r="L241" s="23"/>
      <c r="M241" s="71"/>
      <c r="N241" s="71"/>
      <c r="O241" s="22"/>
      <c r="P241" s="22"/>
      <c r="Q241" s="22"/>
      <c r="R241" s="71"/>
      <c r="AC241" s="22"/>
      <c r="AD241" s="22"/>
      <c r="AE241" s="22"/>
      <c r="AF241" s="22"/>
      <c r="AG241" s="22"/>
      <c r="AH241" s="22"/>
      <c r="AI241" s="22"/>
      <c r="AJ241" s="22"/>
      <c r="AK241" s="22"/>
      <c r="AL241" s="22"/>
      <c r="AM241" s="22"/>
      <c r="AN241" s="22"/>
      <c r="AO241" s="22"/>
      <c r="AP241" s="22"/>
      <c r="AQ241" s="22"/>
      <c r="AR241" s="22"/>
      <c r="AS241" s="22"/>
    </row>
    <row r="242" spans="1:45" x14ac:dyDescent="0.3">
      <c r="A242" s="22"/>
      <c r="B242" s="71"/>
      <c r="C242" s="22"/>
      <c r="D242" s="23"/>
      <c r="E242" s="22"/>
      <c r="F242" s="22"/>
      <c r="G242" s="22"/>
      <c r="H242" s="23"/>
      <c r="I242" s="22"/>
      <c r="J242" s="22"/>
      <c r="K242" s="22"/>
      <c r="L242" s="23"/>
      <c r="M242" s="71"/>
      <c r="N242" s="71"/>
      <c r="O242" s="22"/>
      <c r="P242" s="22"/>
      <c r="Q242" s="22"/>
      <c r="R242" s="71"/>
      <c r="AC242" s="22"/>
      <c r="AD242" s="22"/>
      <c r="AE242" s="22"/>
      <c r="AF242" s="22"/>
      <c r="AG242" s="22"/>
      <c r="AH242" s="22"/>
      <c r="AI242" s="22"/>
      <c r="AJ242" s="22"/>
      <c r="AK242" s="22"/>
      <c r="AL242" s="22"/>
      <c r="AM242" s="22"/>
      <c r="AN242" s="22"/>
      <c r="AO242" s="22"/>
      <c r="AP242" s="22"/>
      <c r="AQ242" s="22"/>
      <c r="AR242" s="22"/>
      <c r="AS242" s="22"/>
    </row>
    <row r="243" spans="1:45" x14ac:dyDescent="0.3">
      <c r="A243" s="22"/>
      <c r="B243" s="71"/>
      <c r="C243" s="22"/>
      <c r="D243" s="23"/>
      <c r="E243" s="22"/>
      <c r="F243" s="22"/>
      <c r="G243" s="22"/>
      <c r="H243" s="23"/>
      <c r="I243" s="22"/>
      <c r="J243" s="22"/>
      <c r="K243" s="22"/>
      <c r="L243" s="23"/>
      <c r="M243" s="71"/>
      <c r="N243" s="71"/>
      <c r="O243" s="22"/>
      <c r="P243" s="22"/>
      <c r="Q243" s="22"/>
      <c r="R243" s="71"/>
      <c r="AC243" s="22"/>
      <c r="AD243" s="22"/>
      <c r="AE243" s="22"/>
      <c r="AF243" s="22"/>
      <c r="AG243" s="22"/>
      <c r="AH243" s="22"/>
      <c r="AI243" s="22"/>
      <c r="AJ243" s="22"/>
      <c r="AK243" s="22"/>
      <c r="AL243" s="22"/>
      <c r="AM243" s="22"/>
      <c r="AN243" s="22"/>
      <c r="AO243" s="22"/>
      <c r="AP243" s="22"/>
      <c r="AQ243" s="22"/>
      <c r="AR243" s="22"/>
      <c r="AS243" s="22"/>
    </row>
    <row r="244" spans="1:45" x14ac:dyDescent="0.3">
      <c r="A244" s="22"/>
      <c r="B244" s="71"/>
      <c r="C244" s="22"/>
      <c r="D244" s="23"/>
      <c r="E244" s="22"/>
      <c r="F244" s="22"/>
      <c r="G244" s="22"/>
      <c r="H244" s="23"/>
      <c r="I244" s="22"/>
      <c r="J244" s="22"/>
      <c r="K244" s="22"/>
      <c r="L244" s="23"/>
      <c r="M244" s="71"/>
      <c r="N244" s="71"/>
      <c r="O244" s="22"/>
      <c r="P244" s="22"/>
      <c r="Q244" s="22"/>
      <c r="R244" s="71"/>
      <c r="AC244" s="22"/>
      <c r="AD244" s="22"/>
      <c r="AE244" s="22"/>
      <c r="AF244" s="22"/>
      <c r="AG244" s="22"/>
      <c r="AH244" s="22"/>
      <c r="AI244" s="22"/>
      <c r="AJ244" s="22"/>
      <c r="AK244" s="22"/>
      <c r="AL244" s="22"/>
      <c r="AM244" s="22"/>
      <c r="AN244" s="22"/>
      <c r="AO244" s="22"/>
      <c r="AP244" s="22"/>
      <c r="AQ244" s="22"/>
      <c r="AR244" s="22"/>
      <c r="AS244" s="22"/>
    </row>
    <row r="245" spans="1:45" x14ac:dyDescent="0.3">
      <c r="A245" s="22"/>
      <c r="B245" s="71"/>
      <c r="C245" s="22"/>
      <c r="D245" s="23"/>
      <c r="E245" s="22"/>
      <c r="F245" s="22"/>
      <c r="G245" s="22"/>
      <c r="H245" s="23"/>
      <c r="I245" s="22"/>
      <c r="J245" s="22"/>
      <c r="K245" s="22"/>
      <c r="L245" s="23"/>
      <c r="M245" s="71"/>
      <c r="N245" s="71"/>
      <c r="O245" s="22"/>
      <c r="P245" s="22"/>
      <c r="Q245" s="22"/>
      <c r="R245" s="71"/>
      <c r="AC245" s="22"/>
      <c r="AD245" s="22"/>
      <c r="AE245" s="22"/>
      <c r="AF245" s="22"/>
      <c r="AG245" s="22"/>
      <c r="AH245" s="22"/>
      <c r="AI245" s="22"/>
      <c r="AJ245" s="22"/>
      <c r="AK245" s="22"/>
      <c r="AL245" s="22"/>
      <c r="AM245" s="22"/>
      <c r="AN245" s="22"/>
      <c r="AO245" s="22"/>
      <c r="AP245" s="22"/>
      <c r="AQ245" s="22"/>
      <c r="AR245" s="22"/>
      <c r="AS245" s="22"/>
    </row>
    <row r="246" spans="1:45" x14ac:dyDescent="0.3">
      <c r="A246" s="22"/>
      <c r="B246" s="71"/>
      <c r="C246" s="22"/>
      <c r="D246" s="23"/>
      <c r="E246" s="22"/>
      <c r="F246" s="22"/>
      <c r="G246" s="22"/>
      <c r="H246" s="23"/>
      <c r="I246" s="22"/>
      <c r="J246" s="22"/>
      <c r="K246" s="22"/>
      <c r="L246" s="23"/>
      <c r="M246" s="71"/>
      <c r="N246" s="71"/>
      <c r="O246" s="22"/>
      <c r="P246" s="22"/>
      <c r="Q246" s="22"/>
      <c r="R246" s="71"/>
      <c r="AC246" s="22"/>
      <c r="AD246" s="22"/>
      <c r="AE246" s="22"/>
      <c r="AF246" s="22"/>
      <c r="AG246" s="22"/>
      <c r="AH246" s="22"/>
      <c r="AI246" s="22"/>
      <c r="AJ246" s="22"/>
      <c r="AK246" s="22"/>
      <c r="AL246" s="22"/>
      <c r="AM246" s="22"/>
      <c r="AN246" s="22"/>
      <c r="AO246" s="22"/>
      <c r="AP246" s="22"/>
      <c r="AQ246" s="22"/>
      <c r="AR246" s="22"/>
      <c r="AS246" s="22"/>
    </row>
    <row r="247" spans="1:45" x14ac:dyDescent="0.3">
      <c r="A247" s="22"/>
      <c r="B247" s="71"/>
      <c r="C247" s="22"/>
      <c r="D247" s="23"/>
      <c r="E247" s="22"/>
      <c r="F247" s="22"/>
      <c r="G247" s="22"/>
      <c r="H247" s="23"/>
      <c r="I247" s="22"/>
      <c r="J247" s="22"/>
      <c r="K247" s="22"/>
      <c r="L247" s="23"/>
      <c r="M247" s="71"/>
      <c r="N247" s="71"/>
      <c r="O247" s="22"/>
      <c r="P247" s="22"/>
      <c r="Q247" s="22"/>
      <c r="R247" s="71"/>
      <c r="AC247" s="22"/>
      <c r="AD247" s="22"/>
      <c r="AE247" s="22"/>
      <c r="AF247" s="22"/>
      <c r="AG247" s="22"/>
      <c r="AH247" s="22"/>
      <c r="AI247" s="22"/>
      <c r="AJ247" s="22"/>
      <c r="AK247" s="22"/>
      <c r="AL247" s="22"/>
      <c r="AM247" s="22"/>
      <c r="AN247" s="22"/>
      <c r="AO247" s="22"/>
      <c r="AP247" s="22"/>
      <c r="AQ247" s="22"/>
      <c r="AR247" s="22"/>
      <c r="AS247" s="22"/>
    </row>
    <row r="248" spans="1:45" x14ac:dyDescent="0.3">
      <c r="A248" s="22"/>
      <c r="B248" s="71"/>
      <c r="C248" s="22"/>
      <c r="D248" s="23"/>
      <c r="E248" s="22"/>
      <c r="F248" s="22"/>
      <c r="G248" s="22"/>
      <c r="H248" s="23"/>
      <c r="I248" s="22"/>
      <c r="J248" s="22"/>
      <c r="K248" s="22"/>
      <c r="L248" s="23"/>
      <c r="M248" s="71"/>
      <c r="N248" s="71"/>
      <c r="O248" s="22"/>
      <c r="P248" s="22"/>
      <c r="Q248" s="22"/>
      <c r="R248" s="71"/>
      <c r="AC248" s="22"/>
      <c r="AD248" s="22"/>
      <c r="AE248" s="22"/>
      <c r="AF248" s="22"/>
      <c r="AG248" s="22"/>
      <c r="AH248" s="22"/>
      <c r="AI248" s="22"/>
      <c r="AJ248" s="22"/>
      <c r="AK248" s="22"/>
      <c r="AL248" s="22"/>
      <c r="AM248" s="22"/>
      <c r="AN248" s="22"/>
      <c r="AO248" s="22"/>
      <c r="AP248" s="22"/>
      <c r="AQ248" s="22"/>
      <c r="AR248" s="22"/>
      <c r="AS248" s="22"/>
    </row>
    <row r="249" spans="1:45" x14ac:dyDescent="0.3">
      <c r="A249" s="22"/>
      <c r="B249" s="71"/>
      <c r="C249" s="22"/>
      <c r="D249" s="23"/>
      <c r="E249" s="22"/>
      <c r="F249" s="22"/>
      <c r="G249" s="22"/>
      <c r="H249" s="23"/>
      <c r="I249" s="22"/>
      <c r="J249" s="22"/>
      <c r="K249" s="22"/>
      <c r="L249" s="23"/>
      <c r="M249" s="71"/>
      <c r="N249" s="71"/>
      <c r="O249" s="22"/>
      <c r="P249" s="22"/>
      <c r="Q249" s="22"/>
      <c r="R249" s="71"/>
      <c r="AC249" s="22"/>
      <c r="AD249" s="22"/>
      <c r="AE249" s="22"/>
      <c r="AF249" s="22"/>
      <c r="AG249" s="22"/>
      <c r="AH249" s="22"/>
      <c r="AI249" s="22"/>
      <c r="AJ249" s="22"/>
      <c r="AK249" s="22"/>
      <c r="AL249" s="22"/>
      <c r="AM249" s="22"/>
      <c r="AN249" s="22"/>
      <c r="AO249" s="22"/>
      <c r="AP249" s="22"/>
      <c r="AQ249" s="22"/>
      <c r="AR249" s="22"/>
      <c r="AS249" s="22"/>
    </row>
    <row r="250" spans="1:45" x14ac:dyDescent="0.3">
      <c r="A250" s="22"/>
      <c r="B250" s="71"/>
      <c r="C250" s="22"/>
      <c r="D250" s="23"/>
      <c r="E250" s="22"/>
      <c r="F250" s="22"/>
      <c r="G250" s="22"/>
      <c r="H250" s="23"/>
      <c r="I250" s="22"/>
      <c r="J250" s="22"/>
      <c r="K250" s="22"/>
      <c r="L250" s="23"/>
      <c r="M250" s="71"/>
      <c r="N250" s="71"/>
      <c r="O250" s="22"/>
      <c r="P250" s="22"/>
      <c r="Q250" s="22"/>
      <c r="R250" s="71"/>
      <c r="AC250" s="22"/>
      <c r="AD250" s="22"/>
      <c r="AE250" s="22"/>
      <c r="AF250" s="22"/>
      <c r="AG250" s="22"/>
      <c r="AH250" s="22"/>
      <c r="AI250" s="22"/>
      <c r="AJ250" s="22"/>
      <c r="AK250" s="22"/>
      <c r="AL250" s="22"/>
      <c r="AM250" s="22"/>
      <c r="AN250" s="22"/>
      <c r="AO250" s="22"/>
      <c r="AP250" s="22"/>
      <c r="AQ250" s="22"/>
      <c r="AR250" s="22"/>
      <c r="AS250" s="22"/>
    </row>
    <row r="251" spans="1:45" x14ac:dyDescent="0.3">
      <c r="A251" s="22"/>
      <c r="B251" s="71"/>
      <c r="C251" s="22"/>
      <c r="D251" s="23"/>
      <c r="E251" s="22"/>
      <c r="F251" s="22"/>
      <c r="G251" s="22"/>
      <c r="H251" s="23"/>
      <c r="I251" s="22"/>
      <c r="J251" s="22"/>
      <c r="K251" s="22"/>
      <c r="L251" s="23"/>
      <c r="M251" s="71"/>
      <c r="N251" s="71"/>
      <c r="O251" s="22"/>
      <c r="P251" s="22"/>
      <c r="Q251" s="22"/>
      <c r="R251" s="71"/>
      <c r="AC251" s="22"/>
      <c r="AD251" s="22"/>
      <c r="AE251" s="22"/>
      <c r="AF251" s="22"/>
      <c r="AG251" s="22"/>
      <c r="AH251" s="22"/>
      <c r="AI251" s="22"/>
      <c r="AJ251" s="22"/>
      <c r="AK251" s="22"/>
      <c r="AL251" s="22"/>
      <c r="AM251" s="22"/>
      <c r="AN251" s="22"/>
      <c r="AO251" s="22"/>
      <c r="AP251" s="22"/>
      <c r="AQ251" s="22"/>
      <c r="AR251" s="22"/>
      <c r="AS251" s="22"/>
    </row>
    <row r="252" spans="1:45" x14ac:dyDescent="0.3">
      <c r="A252" s="22"/>
      <c r="B252" s="71"/>
      <c r="C252" s="22"/>
      <c r="D252" s="23"/>
      <c r="E252" s="22"/>
      <c r="F252" s="22"/>
      <c r="G252" s="22"/>
      <c r="H252" s="23"/>
      <c r="I252" s="22"/>
      <c r="J252" s="22"/>
      <c r="K252" s="22"/>
      <c r="L252" s="23"/>
      <c r="M252" s="71"/>
      <c r="N252" s="71"/>
      <c r="O252" s="22"/>
      <c r="P252" s="22"/>
      <c r="Q252" s="22"/>
      <c r="R252" s="71"/>
      <c r="AC252" s="22"/>
      <c r="AD252" s="22"/>
      <c r="AE252" s="22"/>
      <c r="AF252" s="22"/>
      <c r="AG252" s="22"/>
      <c r="AH252" s="22"/>
      <c r="AI252" s="22"/>
      <c r="AJ252" s="22"/>
      <c r="AK252" s="22"/>
      <c r="AL252" s="22"/>
      <c r="AM252" s="22"/>
      <c r="AN252" s="22"/>
      <c r="AO252" s="22"/>
      <c r="AP252" s="22"/>
      <c r="AQ252" s="22"/>
      <c r="AR252" s="22"/>
      <c r="AS252" s="22"/>
    </row>
    <row r="253" spans="1:45" x14ac:dyDescent="0.3">
      <c r="A253" s="22"/>
      <c r="B253" s="71"/>
      <c r="C253" s="22"/>
      <c r="D253" s="23"/>
      <c r="E253" s="22"/>
      <c r="F253" s="22"/>
      <c r="G253" s="22"/>
      <c r="H253" s="23"/>
      <c r="I253" s="22"/>
      <c r="J253" s="22"/>
      <c r="K253" s="22"/>
      <c r="L253" s="23"/>
      <c r="M253" s="71"/>
      <c r="N253" s="71"/>
      <c r="O253" s="22"/>
      <c r="P253" s="22"/>
      <c r="Q253" s="22"/>
      <c r="R253" s="71"/>
      <c r="AC253" s="22"/>
      <c r="AD253" s="22"/>
      <c r="AE253" s="22"/>
      <c r="AF253" s="22"/>
      <c r="AG253" s="22"/>
      <c r="AH253" s="22"/>
      <c r="AI253" s="22"/>
      <c r="AJ253" s="22"/>
      <c r="AK253" s="22"/>
      <c r="AL253" s="22"/>
      <c r="AM253" s="22"/>
      <c r="AN253" s="22"/>
      <c r="AO253" s="22"/>
      <c r="AP253" s="22"/>
      <c r="AQ253" s="22"/>
      <c r="AR253" s="22"/>
      <c r="AS253" s="22"/>
    </row>
    <row r="254" spans="1:45" x14ac:dyDescent="0.3">
      <c r="A254" s="22"/>
      <c r="B254" s="71"/>
      <c r="C254" s="22"/>
      <c r="D254" s="23"/>
      <c r="E254" s="22"/>
      <c r="F254" s="22"/>
      <c r="G254" s="22"/>
      <c r="H254" s="23"/>
      <c r="I254" s="22"/>
      <c r="J254" s="22"/>
      <c r="K254" s="22"/>
      <c r="L254" s="23"/>
      <c r="M254" s="71"/>
      <c r="N254" s="71"/>
      <c r="O254" s="22"/>
      <c r="P254" s="22"/>
      <c r="Q254" s="22"/>
      <c r="R254" s="71"/>
      <c r="AC254" s="22"/>
      <c r="AD254" s="22"/>
      <c r="AE254" s="22"/>
      <c r="AF254" s="22"/>
      <c r="AG254" s="22"/>
      <c r="AH254" s="22"/>
      <c r="AI254" s="22"/>
      <c r="AJ254" s="22"/>
      <c r="AK254" s="22"/>
      <c r="AL254" s="22"/>
      <c r="AM254" s="22"/>
      <c r="AN254" s="22"/>
      <c r="AO254" s="22"/>
      <c r="AP254" s="22"/>
      <c r="AQ254" s="22"/>
      <c r="AR254" s="22"/>
      <c r="AS254" s="22"/>
    </row>
  </sheetData>
  <sheetProtection algorithmName="SHA-512" hashValue="1zZjKYUhcIBaE0M3QfxJdEwiN6ijAIsP1JLOVlf1sey486ocbGuMFlyopili4QUH2yCLuAvqPUDmBQpLcapCig==" saltValue="vKV9si4g2DE1QgCmINi9KA=="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33:J35 C36:L50">
    <cfRule type="expression" dxfId="44" priority="9">
      <formula>INDEX(Status_Systeme,$A$2)=TRUE</formula>
    </cfRule>
  </conditionalFormatting>
  <conditionalFormatting sqref="C33:J35">
    <cfRule type="expression" dxfId="43" priority="8">
      <formula>AND(INDEX(Status_Systeme,$A$2)=TRUE,C33&lt;&gt;"")</formula>
    </cfRule>
    <cfRule type="expression" dxfId="42" priority="15">
      <formula>AND(INDEX(Status_Systeme,$A$2)=FALSE,C33="",$S33&gt;0,$S33&lt;3)</formula>
    </cfRule>
    <cfRule type="expression" dxfId="41" priority="18">
      <formula>AND(INDEX(Status_Systeme,$A$2)=FALSE,$S33=0)</formula>
    </cfRule>
  </conditionalFormatting>
  <conditionalFormatting sqref="C2:L6">
    <cfRule type="iconSet" priority="21">
      <iconSet iconSet="3Symbols" showValue="0">
        <cfvo type="percent" val="0"/>
        <cfvo type="num" val="1"/>
        <cfvo type="num" val="2"/>
      </iconSet>
    </cfRule>
  </conditionalFormatting>
  <conditionalFormatting sqref="C18:L32">
    <cfRule type="expression" dxfId="40" priority="2">
      <formula>INDEX(Status_Systeme,$A$2)=TRUE</formula>
    </cfRule>
  </conditionalFormatting>
  <conditionalFormatting sqref="C48:L50">
    <cfRule type="expression" dxfId="39" priority="14">
      <formula>EA_PV_Status=FALSE</formula>
    </cfRule>
  </conditionalFormatting>
  <conditionalFormatting sqref="G20:I31">
    <cfRule type="expression" dxfId="38" priority="16">
      <formula>AND(O20&lt;&gt;"",S20=FALSE)</formula>
    </cfRule>
    <cfRule type="expression" dxfId="37" priority="19">
      <formula>AND(INDEX(Status_Systeme,$A$2)=FALSE,G20="",S20=TRUE)</formula>
    </cfRule>
  </conditionalFormatting>
  <conditionalFormatting sqref="G20:I35 C33:F35 J33:J35">
    <cfRule type="expression" dxfId="36" priority="17">
      <formula>C20&lt;&gt;""</formula>
    </cfRule>
  </conditionalFormatting>
  <conditionalFormatting sqref="G44:I44">
    <cfRule type="expression" dxfId="35" priority="10">
      <formula>Basis_mod_HWB=TRUE</formula>
    </cfRule>
  </conditionalFormatting>
  <conditionalFormatting sqref="G45:I45">
    <cfRule type="expression" dxfId="34" priority="20">
      <formula>Basis_mod_WWWB=TRUE</formula>
    </cfRule>
  </conditionalFormatting>
  <conditionalFormatting sqref="J40">
    <cfRule type="expression" dxfId="33" priority="13">
      <formula>Basis_mod_Betrieb=TRUE</formula>
    </cfRule>
  </conditionalFormatting>
  <conditionalFormatting sqref="J44:J45">
    <cfRule type="expression" dxfId="32" priority="12">
      <formula>Basis_mod_Energiekosten=TRUE</formula>
    </cfRule>
  </conditionalFormatting>
  <conditionalFormatting sqref="J49:J50">
    <cfRule type="expression" dxfId="31" priority="11">
      <formula>Basis_mod_Energiekosten=TRUE</formula>
    </cfRule>
  </conditionalFormatting>
  <conditionalFormatting sqref="K33:L35">
    <cfRule type="expression" dxfId="30" priority="1">
      <formula>INDEX(Status_Systeme,$A$2)=TRUE</formula>
    </cfRule>
  </conditionalFormatting>
  <dataValidations count="3">
    <dataValidation operator="greaterThan" allowBlank="1" showInputMessage="1" showErrorMessage="1" sqref="J40" xr:uid="{00000000-0002-0000-0600-000000000000}"/>
    <dataValidation type="whole" operator="greaterThan" allowBlank="1" showInputMessage="1" showErrorMessage="1" errorTitle="Ungültige Eingabe" error="Bitte geben Sie einen Betrag größer als 0 an." sqref="G20:I23 G25:I31 G33:I35" xr:uid="{00000000-0002-0000-0600-000001000000}">
      <formula1>0</formula1>
    </dataValidation>
    <dataValidation type="whole" allowBlank="1" showInputMessage="1" showErrorMessage="1" sqref="A10" xr:uid="{00000000-0002-0000-0600-00000200000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600-000003000000}">
          <x14:formula1>
            <xm:f>Auswahl!$E$3</xm:f>
          </x14:formula1>
          <x14:formula2>
            <xm:f>Auswahl!$E$4</xm:f>
          </x14:formula2>
          <xm:sqref>J33:J35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5">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74"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74" customWidth="1"/>
    <col min="14" max="14" width="2.5703125" style="74" customWidth="1"/>
    <col min="15" max="15" width="26" style="20" customWidth="1"/>
    <col min="16" max="16" width="16.7109375" style="20" customWidth="1"/>
    <col min="17" max="17" width="30" style="20" customWidth="1"/>
    <col min="18" max="18" width="11.42578125" style="74"/>
    <col min="19" max="26" width="11.42578125" style="74" hidden="1" customWidth="1"/>
    <col min="27" max="28" width="11.42578125" style="74" customWidth="1"/>
    <col min="29" max="16384" width="11.42578125" style="20"/>
  </cols>
  <sheetData>
    <row r="1" spans="1:45" x14ac:dyDescent="0.3">
      <c r="A1" s="22"/>
      <c r="B1" s="71"/>
      <c r="C1" s="22"/>
      <c r="D1" s="23"/>
      <c r="E1" s="22"/>
      <c r="F1" s="22"/>
      <c r="G1" s="22"/>
      <c r="H1" s="23"/>
      <c r="I1" s="22"/>
      <c r="J1" s="22"/>
      <c r="K1" s="22"/>
      <c r="L1" s="23"/>
      <c r="M1" s="71"/>
      <c r="N1" s="71"/>
      <c r="O1" s="22"/>
      <c r="P1" s="22"/>
      <c r="Q1" s="22"/>
      <c r="R1" s="71"/>
      <c r="S1" s="71"/>
      <c r="T1" s="71"/>
      <c r="U1" s="71"/>
      <c r="V1" s="71"/>
      <c r="W1" s="71"/>
      <c r="X1" s="71"/>
      <c r="Y1" s="71"/>
      <c r="Z1" s="71"/>
      <c r="AA1" s="71"/>
      <c r="AB1" s="71"/>
      <c r="AC1" s="22"/>
      <c r="AD1" s="22"/>
      <c r="AE1" s="22"/>
      <c r="AF1" s="22"/>
      <c r="AG1" s="22"/>
      <c r="AH1" s="22"/>
      <c r="AI1" s="22"/>
      <c r="AJ1" s="22"/>
      <c r="AK1" s="22"/>
      <c r="AL1" s="22"/>
      <c r="AM1" s="22"/>
      <c r="AN1" s="22"/>
      <c r="AO1" s="22"/>
      <c r="AP1" s="22"/>
      <c r="AQ1" s="22"/>
      <c r="AR1" s="22"/>
      <c r="AS1" s="22"/>
    </row>
    <row r="2" spans="1:45" ht="18.75" customHeight="1" x14ac:dyDescent="0.3">
      <c r="A2" s="45">
        <v>6</v>
      </c>
      <c r="B2" s="77"/>
      <c r="C2" s="38" t="str">
        <f>" "&amp;INDEX(Auswahl!$G$2:$G$10,1+0)&amp;" | "&amp;INDEX(Auswahl!$H$2:$H$10,1+0)</f>
        <v xml:space="preserve"> A | Antragsformular</v>
      </c>
      <c r="D2" s="156">
        <f>IF(Auswahl!$I$2=TRUE,2,0)</f>
        <v>0</v>
      </c>
      <c r="E2" s="30"/>
      <c r="F2" s="38" t="str">
        <f>" "&amp;INDEX(Auswahl!$G$2:$G$10,1+3)&amp;" | "&amp;INDEX(Auswahl!$H$2:$H$10,1+3)</f>
        <v xml:space="preserve"> 2 | Pelletsanlage</v>
      </c>
      <c r="G2" s="44"/>
      <c r="H2" s="156">
        <f>IF(Auswahl!$I$5=TRUE,2,0)</f>
        <v>0</v>
      </c>
      <c r="I2" s="32"/>
      <c r="J2" s="38" t="str">
        <f>" "&amp;INDEX(Auswahl!$G$2:$G$10,1+6)&amp;" | "&amp;INDEX(Auswahl!$H$2:$H$10,1+6)</f>
        <v xml:space="preserve"> 5 | Wärmepumpe (Wasser)</v>
      </c>
      <c r="K2" s="44"/>
      <c r="L2" s="156">
        <f>IF(Auswahl!$I$8=TRUE,2,0)</f>
        <v>0</v>
      </c>
      <c r="M2" s="79"/>
      <c r="N2" s="79"/>
      <c r="O2" s="22"/>
      <c r="P2" s="22"/>
      <c r="Q2" s="22"/>
      <c r="R2" s="71"/>
      <c r="S2" s="71"/>
      <c r="T2" s="71"/>
      <c r="U2" s="71"/>
      <c r="V2" s="71"/>
      <c r="W2" s="71"/>
      <c r="X2" s="71"/>
      <c r="Y2" s="71"/>
      <c r="Z2" s="71"/>
      <c r="AA2" s="71"/>
      <c r="AB2" s="71"/>
      <c r="AC2" s="22"/>
      <c r="AD2" s="22"/>
      <c r="AE2" s="22"/>
      <c r="AF2" s="22"/>
      <c r="AG2" s="22"/>
      <c r="AH2" s="22"/>
      <c r="AI2" s="22"/>
      <c r="AJ2" s="22"/>
      <c r="AK2" s="22"/>
      <c r="AL2" s="22"/>
      <c r="AM2" s="22"/>
      <c r="AN2" s="22"/>
      <c r="AO2" s="22"/>
      <c r="AP2" s="22"/>
      <c r="AQ2" s="22"/>
      <c r="AR2" s="22"/>
      <c r="AS2" s="22"/>
    </row>
    <row r="3" spans="1:45" ht="3.75" customHeight="1" x14ac:dyDescent="0.3">
      <c r="A3" s="36"/>
      <c r="B3" s="77"/>
      <c r="C3" s="33"/>
      <c r="D3" s="27"/>
      <c r="E3" s="30"/>
      <c r="F3" s="34"/>
      <c r="G3" s="34"/>
      <c r="H3" s="153"/>
      <c r="I3" s="32"/>
      <c r="J3" s="33"/>
      <c r="K3" s="33"/>
      <c r="L3" s="153"/>
      <c r="M3" s="79"/>
      <c r="N3" s="79"/>
      <c r="O3" s="22"/>
      <c r="P3" s="22"/>
      <c r="Q3" s="22"/>
      <c r="R3" s="71"/>
      <c r="S3" s="71"/>
      <c r="T3" s="71"/>
      <c r="U3" s="71"/>
      <c r="V3" s="71"/>
      <c r="W3" s="71"/>
      <c r="X3" s="71"/>
      <c r="Y3" s="71"/>
      <c r="Z3" s="71"/>
      <c r="AA3" s="71"/>
      <c r="AB3" s="71"/>
      <c r="AC3" s="22"/>
      <c r="AD3" s="22"/>
      <c r="AE3" s="22"/>
      <c r="AF3" s="22"/>
      <c r="AG3" s="22"/>
      <c r="AH3" s="22"/>
      <c r="AI3" s="22"/>
      <c r="AJ3" s="22"/>
      <c r="AK3" s="22"/>
      <c r="AL3" s="22"/>
      <c r="AM3" s="22"/>
      <c r="AN3" s="22"/>
      <c r="AO3" s="22"/>
      <c r="AP3" s="22"/>
      <c r="AQ3" s="22"/>
      <c r="AR3" s="22"/>
      <c r="AS3" s="22"/>
    </row>
    <row r="4" spans="1:45" ht="18.75" customHeight="1" x14ac:dyDescent="0.3">
      <c r="A4" s="334" t="s">
        <v>78</v>
      </c>
      <c r="B4" s="77"/>
      <c r="C4" s="38" t="str">
        <f>" "&amp;INDEX(Auswahl!$G$2:$G$10,1+1)&amp;" | "&amp;INDEX(Auswahl!$H$2:$H$10,1+1)</f>
        <v xml:space="preserve"> 0 | Basisangaben</v>
      </c>
      <c r="D4" s="156">
        <f>IF(Auswahl!$I$3=TRUE,2,0)</f>
        <v>0</v>
      </c>
      <c r="E4" s="30"/>
      <c r="F4" s="38" t="str">
        <f>" "&amp;INDEX(Auswahl!$G$2:$G$10,1+4)&amp;" | "&amp;INDEX(Auswahl!$H$2:$H$10,1+4)</f>
        <v xml:space="preserve"> 3 | Nah- /Fernwärme (ern.)</v>
      </c>
      <c r="G4" s="44"/>
      <c r="H4" s="40">
        <f>IF(Auswahl!$I$6=TRUE,2,0)</f>
        <v>0</v>
      </c>
      <c r="I4" s="32"/>
      <c r="J4" s="39" t="str">
        <f>" "&amp;INDEX(Auswahl!$G$2:$G$10,1+7)&amp;" | "&amp;INDEX(Auswahl!$H$2:$H$10,1+7)</f>
        <v xml:space="preserve"> 6 | Wärmepumpe (Sole)</v>
      </c>
      <c r="K4" s="151"/>
      <c r="L4" s="175">
        <f>IF(Auswahl!$I$9=TRUE,2,0)</f>
        <v>0</v>
      </c>
      <c r="M4" s="80"/>
      <c r="N4" s="80"/>
      <c r="O4" s="335"/>
      <c r="P4" s="22"/>
      <c r="Q4" s="22"/>
      <c r="R4" s="71"/>
      <c r="S4" s="71"/>
      <c r="T4" s="71"/>
      <c r="U4" s="71"/>
      <c r="V4" s="71"/>
      <c r="W4" s="71"/>
      <c r="X4" s="71"/>
      <c r="Y4" s="71"/>
      <c r="Z4" s="71"/>
      <c r="AA4" s="71"/>
      <c r="AB4" s="71"/>
      <c r="AC4" s="22"/>
      <c r="AD4" s="22"/>
      <c r="AE4" s="22"/>
      <c r="AF4" s="22"/>
      <c r="AG4" s="22"/>
      <c r="AH4" s="22"/>
      <c r="AI4" s="22"/>
      <c r="AJ4" s="22"/>
      <c r="AK4" s="22"/>
      <c r="AL4" s="22"/>
      <c r="AM4" s="22"/>
      <c r="AN4" s="22"/>
      <c r="AO4" s="22"/>
      <c r="AP4" s="22"/>
      <c r="AQ4" s="22"/>
      <c r="AR4" s="22"/>
      <c r="AS4" s="22"/>
    </row>
    <row r="5" spans="1:45" ht="3.75" customHeight="1" x14ac:dyDescent="0.3">
      <c r="A5" s="334"/>
      <c r="B5" s="77"/>
      <c r="C5" s="33"/>
      <c r="D5" s="153"/>
      <c r="E5" s="30"/>
      <c r="F5" s="34"/>
      <c r="G5" s="34"/>
      <c r="H5" s="153"/>
      <c r="I5" s="32"/>
      <c r="J5" s="33"/>
      <c r="K5" s="33"/>
      <c r="L5" s="153"/>
      <c r="M5" s="80"/>
      <c r="N5" s="80"/>
      <c r="O5" s="335"/>
      <c r="P5" s="22"/>
      <c r="Q5" s="22"/>
      <c r="R5" s="71"/>
      <c r="S5" s="71"/>
      <c r="T5" s="71"/>
      <c r="U5" s="71"/>
      <c r="V5" s="71"/>
      <c r="W5" s="71"/>
      <c r="X5" s="71"/>
      <c r="Y5" s="71"/>
      <c r="Z5" s="71"/>
      <c r="AA5" s="71"/>
      <c r="AB5" s="71"/>
      <c r="AC5" s="22"/>
      <c r="AD5" s="22"/>
      <c r="AE5" s="22"/>
      <c r="AF5" s="22"/>
      <c r="AG5" s="22"/>
      <c r="AH5" s="22"/>
      <c r="AI5" s="22"/>
      <c r="AJ5" s="22"/>
      <c r="AK5" s="22"/>
      <c r="AL5" s="22"/>
      <c r="AM5" s="22"/>
      <c r="AN5" s="22"/>
      <c r="AO5" s="22"/>
      <c r="AP5" s="22"/>
      <c r="AQ5" s="22"/>
      <c r="AR5" s="22"/>
      <c r="AS5" s="22"/>
    </row>
    <row r="6" spans="1:45" ht="18.75" customHeight="1" x14ac:dyDescent="0.3">
      <c r="A6" s="334"/>
      <c r="B6" s="77"/>
      <c r="C6" s="38" t="str">
        <f>" "&amp;INDEX(Auswahl!$G$2:$G$10,1+2)&amp;" | "&amp;INDEX(Auswahl!$H$2:$H$10,1+2)</f>
        <v xml:space="preserve"> 1 | Bitte wählen…</v>
      </c>
      <c r="D6" s="156">
        <f>IF(Auswahl!$I$4=TRUE,2,0)</f>
        <v>0</v>
      </c>
      <c r="E6" s="30"/>
      <c r="F6" s="38" t="str">
        <f>" "&amp;INDEX(Auswahl!$G$2:$G$10,1+5)&amp;" | "&amp;INDEX(Auswahl!$H$2:$H$10,1+5)</f>
        <v xml:space="preserve"> 4 | Wärmepumpe (Luft)</v>
      </c>
      <c r="G6" s="179"/>
      <c r="H6" s="156">
        <f>IF(Auswahl!$I$7=TRUE,2,0)</f>
        <v>0</v>
      </c>
      <c r="I6" s="32"/>
      <c r="J6" s="38" t="str">
        <f>" "&amp;INDEX(Auswahl!$G$2:$G$10,1+8)&amp;" | "&amp;INDEX(Auswahl!$H$2:$H$10,1+8)</f>
        <v xml:space="preserve"> 7 | Rahmenbedingungen</v>
      </c>
      <c r="K6" s="44"/>
      <c r="L6" s="156">
        <f>IF(Auswahl!$I$10=TRUE,2,0)</f>
        <v>0</v>
      </c>
      <c r="M6" s="80"/>
      <c r="N6" s="80"/>
      <c r="O6" s="335"/>
      <c r="P6" s="22"/>
      <c r="Q6" s="22"/>
      <c r="R6" s="71"/>
      <c r="S6" s="71"/>
      <c r="T6" s="71"/>
      <c r="U6" s="71"/>
      <c r="V6" s="71"/>
      <c r="W6" s="71"/>
      <c r="X6" s="71"/>
      <c r="Y6" s="71"/>
      <c r="Z6" s="71"/>
      <c r="AA6" s="71"/>
      <c r="AB6" s="71"/>
      <c r="AC6" s="22"/>
      <c r="AD6" s="22"/>
      <c r="AE6" s="22"/>
      <c r="AF6" s="22"/>
      <c r="AG6" s="22"/>
      <c r="AH6" s="22"/>
      <c r="AI6" s="22"/>
      <c r="AJ6" s="22"/>
      <c r="AK6" s="22"/>
      <c r="AL6" s="22"/>
      <c r="AM6" s="22"/>
      <c r="AN6" s="22"/>
      <c r="AO6" s="22"/>
      <c r="AP6" s="22"/>
      <c r="AQ6" s="22"/>
      <c r="AR6" s="22"/>
      <c r="AS6" s="22"/>
    </row>
    <row r="7" spans="1:45" ht="6.75" customHeight="1" x14ac:dyDescent="0.3">
      <c r="A7" s="22"/>
      <c r="B7" s="71"/>
      <c r="C7" s="29"/>
      <c r="D7" s="153"/>
      <c r="E7" s="24"/>
      <c r="F7" s="29"/>
      <c r="G7" s="29"/>
      <c r="H7" s="153"/>
      <c r="I7" s="25"/>
      <c r="J7" s="29"/>
      <c r="K7" s="29"/>
      <c r="L7" s="153"/>
      <c r="M7" s="80"/>
      <c r="N7" s="80"/>
      <c r="O7" s="335"/>
      <c r="P7" s="22"/>
      <c r="Q7" s="22"/>
      <c r="R7" s="71"/>
      <c r="S7" s="71"/>
      <c r="T7" s="71"/>
      <c r="U7" s="71"/>
      <c r="V7" s="71"/>
      <c r="W7" s="71"/>
      <c r="X7" s="71"/>
      <c r="Y7" s="71"/>
      <c r="Z7" s="71"/>
      <c r="AA7" s="71"/>
      <c r="AB7" s="71"/>
      <c r="AC7" s="22"/>
      <c r="AD7" s="22"/>
      <c r="AE7" s="22"/>
      <c r="AF7" s="22"/>
      <c r="AG7" s="22"/>
      <c r="AH7" s="22"/>
      <c r="AI7" s="22"/>
      <c r="AJ7" s="22"/>
      <c r="AK7" s="22"/>
      <c r="AL7" s="22"/>
      <c r="AM7" s="22"/>
      <c r="AN7" s="22"/>
      <c r="AO7" s="22"/>
      <c r="AP7" s="22"/>
      <c r="AQ7" s="22"/>
      <c r="AR7" s="22"/>
      <c r="AS7" s="22"/>
    </row>
    <row r="8" spans="1:45" ht="12.75" customHeight="1" x14ac:dyDescent="0.3">
      <c r="A8" s="22"/>
      <c r="B8" s="78"/>
      <c r="C8" s="35"/>
      <c r="D8" s="31"/>
      <c r="E8" s="24"/>
      <c r="F8" s="24"/>
      <c r="G8" s="24"/>
      <c r="H8" s="31"/>
      <c r="I8" s="24"/>
      <c r="J8" s="24"/>
      <c r="K8" s="24"/>
      <c r="L8" s="31"/>
      <c r="M8" s="78"/>
      <c r="N8" s="78"/>
      <c r="O8" s="22"/>
      <c r="P8" s="22"/>
      <c r="Q8" s="22"/>
      <c r="R8" s="71"/>
      <c r="S8" s="71"/>
      <c r="T8" s="71"/>
      <c r="U8" s="71"/>
      <c r="V8" s="71"/>
      <c r="W8" s="71"/>
      <c r="X8" s="71"/>
      <c r="Y8" s="71"/>
      <c r="Z8" s="71"/>
      <c r="AA8" s="71"/>
      <c r="AB8" s="71"/>
      <c r="AC8" s="22"/>
      <c r="AD8" s="22"/>
      <c r="AE8" s="22"/>
      <c r="AF8" s="22"/>
      <c r="AG8" s="22"/>
      <c r="AH8" s="22"/>
      <c r="AI8" s="22"/>
      <c r="AJ8" s="22"/>
      <c r="AK8" s="22"/>
      <c r="AL8" s="22"/>
      <c r="AM8" s="22"/>
      <c r="AN8" s="22"/>
      <c r="AO8" s="22"/>
      <c r="AP8" s="22"/>
      <c r="AQ8" s="22"/>
      <c r="AR8" s="22"/>
      <c r="AS8" s="22"/>
    </row>
    <row r="9" spans="1:45" ht="3.75" customHeight="1" x14ac:dyDescent="0.3">
      <c r="A9" s="22"/>
      <c r="N9" s="71"/>
      <c r="O9" s="22"/>
      <c r="P9" s="22"/>
      <c r="Q9" s="22"/>
      <c r="R9" s="71"/>
      <c r="S9" s="71"/>
      <c r="T9" s="71"/>
      <c r="U9" s="71"/>
      <c r="V9" s="71"/>
      <c r="W9" s="71"/>
      <c r="X9" s="71"/>
      <c r="Y9" s="71"/>
      <c r="Z9" s="71"/>
      <c r="AA9" s="71"/>
      <c r="AB9" s="71"/>
      <c r="AC9" s="22"/>
      <c r="AD9" s="22"/>
      <c r="AE9" s="22"/>
      <c r="AF9" s="22"/>
      <c r="AG9" s="22"/>
      <c r="AH9" s="22"/>
      <c r="AI9" s="22"/>
      <c r="AJ9" s="22"/>
      <c r="AK9" s="22"/>
      <c r="AL9" s="22"/>
      <c r="AM9" s="22"/>
      <c r="AN9" s="22"/>
      <c r="AO9" s="22"/>
      <c r="AP9" s="22"/>
      <c r="AQ9" s="22"/>
      <c r="AR9" s="22"/>
      <c r="AS9" s="22"/>
    </row>
    <row r="10" spans="1:45" ht="20.25" x14ac:dyDescent="0.3">
      <c r="A10" s="277"/>
      <c r="C10" s="46" t="str">
        <f>$A$2&amp;". SYSTEM: "&amp;UPPER(VLOOKUP($A$2,Navigation,2,FALSE))</f>
        <v>6. SYSTEM: WÄRMEPUMPE (SOLE)</v>
      </c>
      <c r="D10" s="47"/>
      <c r="E10" s="48"/>
      <c r="F10" s="48"/>
      <c r="G10" s="48"/>
      <c r="H10" s="48"/>
      <c r="I10" s="48"/>
      <c r="J10" s="400" t="str">
        <f>IF(Auswahl!$I$9=TRUE,"",UPPER("unvollständig"))</f>
        <v>UNVOLLSTÄNDIG</v>
      </c>
      <c r="K10" s="400"/>
      <c r="L10" s="400"/>
      <c r="M10" s="76"/>
      <c r="N10" s="78"/>
      <c r="O10" s="24"/>
      <c r="P10" s="22"/>
      <c r="Q10" s="22"/>
      <c r="R10" s="71"/>
      <c r="S10" s="71"/>
      <c r="T10" s="71"/>
      <c r="U10" s="101"/>
      <c r="V10" s="71"/>
      <c r="W10" s="71"/>
      <c r="X10" s="102"/>
      <c r="Y10" s="71"/>
      <c r="Z10" s="71"/>
      <c r="AA10" s="71"/>
      <c r="AB10" s="71"/>
      <c r="AC10" s="22"/>
      <c r="AD10" s="22"/>
      <c r="AE10" s="22"/>
      <c r="AF10" s="22"/>
      <c r="AG10" s="22"/>
      <c r="AH10" s="22"/>
      <c r="AI10" s="22"/>
      <c r="AJ10" s="22"/>
      <c r="AK10" s="22"/>
      <c r="AL10" s="22"/>
      <c r="AM10" s="22"/>
      <c r="AN10" s="22"/>
      <c r="AO10" s="22"/>
      <c r="AP10" s="22"/>
      <c r="AQ10" s="22"/>
      <c r="AR10" s="22"/>
      <c r="AS10" s="22"/>
    </row>
    <row r="11" spans="1:45" x14ac:dyDescent="0.3">
      <c r="A11" s="22"/>
      <c r="C11" s="48"/>
      <c r="D11" s="48"/>
      <c r="E11" s="48"/>
      <c r="F11" s="48"/>
      <c r="G11" s="48"/>
      <c r="H11" s="48"/>
      <c r="I11" s="48"/>
      <c r="J11" s="48"/>
      <c r="K11" s="48"/>
      <c r="L11" s="49"/>
      <c r="M11" s="76"/>
      <c r="N11" s="78"/>
      <c r="O11" s="24"/>
      <c r="P11" s="22"/>
      <c r="Q11" s="22"/>
      <c r="R11" s="71"/>
      <c r="S11" s="71"/>
      <c r="T11" s="71"/>
      <c r="U11" s="101"/>
      <c r="V11" s="71"/>
      <c r="W11" s="71"/>
      <c r="X11" s="71"/>
      <c r="Y11" s="71"/>
      <c r="Z11" s="71"/>
      <c r="AA11" s="71"/>
      <c r="AB11" s="71"/>
      <c r="AC11" s="22"/>
      <c r="AD11" s="22"/>
      <c r="AE11" s="22"/>
      <c r="AF11" s="22"/>
      <c r="AG11" s="22"/>
      <c r="AH11" s="22"/>
      <c r="AI11" s="22"/>
      <c r="AJ11" s="22"/>
      <c r="AK11" s="22"/>
      <c r="AL11" s="22"/>
      <c r="AM11" s="22"/>
      <c r="AN11" s="22"/>
      <c r="AO11" s="22"/>
      <c r="AP11" s="22"/>
      <c r="AQ11" s="22"/>
      <c r="AR11" s="22"/>
      <c r="AS11" s="22"/>
    </row>
    <row r="12" spans="1:45" x14ac:dyDescent="0.3">
      <c r="A12" s="190"/>
      <c r="C12" s="47" t="str">
        <f>$A$2&amp;".1 "&amp;UPPER(INDEX(Auswahl!$P$2:$P$6,1))</f>
        <v>6.1 AUSSCHLUSSGRÜNDE</v>
      </c>
      <c r="D12" s="47"/>
      <c r="E12" s="48"/>
      <c r="F12" s="48"/>
      <c r="G12" s="48"/>
      <c r="H12" s="48"/>
      <c r="I12" s="48"/>
      <c r="J12" s="48"/>
      <c r="K12" s="48"/>
      <c r="L12" s="48"/>
      <c r="M12" s="66"/>
      <c r="N12" s="189"/>
      <c r="O12" s="24"/>
      <c r="P12" s="22"/>
      <c r="Q12" s="22"/>
      <c r="R12" s="71"/>
      <c r="S12" s="71"/>
      <c r="T12" s="71"/>
      <c r="U12" s="101"/>
      <c r="V12" s="71"/>
      <c r="W12" s="71"/>
      <c r="X12" s="71"/>
      <c r="Y12" s="71"/>
      <c r="Z12" s="71"/>
      <c r="AA12" s="71"/>
      <c r="AB12" s="71"/>
      <c r="AC12" s="22"/>
      <c r="AD12" s="22"/>
      <c r="AE12" s="22"/>
      <c r="AF12" s="22"/>
      <c r="AG12" s="22"/>
      <c r="AH12" s="22"/>
      <c r="AI12" s="22"/>
      <c r="AJ12" s="22"/>
      <c r="AK12" s="22"/>
      <c r="AL12" s="22"/>
      <c r="AM12" s="22"/>
      <c r="AN12" s="22"/>
      <c r="AO12" s="22"/>
      <c r="AP12" s="22"/>
      <c r="AQ12" s="22"/>
      <c r="AR12" s="22"/>
      <c r="AS12" s="22"/>
    </row>
    <row r="13" spans="1:45" ht="7.5" customHeight="1" x14ac:dyDescent="0.3">
      <c r="A13" s="190"/>
      <c r="C13" s="48"/>
      <c r="D13" s="48"/>
      <c r="E13" s="48"/>
      <c r="F13" s="48"/>
      <c r="G13" s="48"/>
      <c r="H13" s="48"/>
      <c r="I13" s="48"/>
      <c r="J13" s="48"/>
      <c r="K13" s="48"/>
      <c r="L13" s="49"/>
      <c r="M13" s="76"/>
      <c r="N13" s="78"/>
      <c r="O13" s="24"/>
      <c r="P13" s="22"/>
      <c r="Q13" s="22"/>
      <c r="R13" s="71"/>
      <c r="S13" s="71"/>
      <c r="T13" s="71"/>
      <c r="U13" s="71"/>
      <c r="V13" s="71"/>
      <c r="W13" s="71"/>
      <c r="X13" s="71"/>
      <c r="Y13" s="71"/>
      <c r="Z13" s="71"/>
      <c r="AA13" s="71"/>
      <c r="AB13" s="71"/>
      <c r="AC13" s="22"/>
      <c r="AD13" s="22"/>
      <c r="AE13" s="22"/>
      <c r="AF13" s="22"/>
      <c r="AG13" s="22"/>
      <c r="AH13" s="22"/>
      <c r="AI13" s="22"/>
      <c r="AJ13" s="22"/>
      <c r="AK13" s="22"/>
      <c r="AL13" s="22"/>
      <c r="AM13" s="22"/>
      <c r="AN13" s="22"/>
      <c r="AO13" s="22"/>
      <c r="AP13" s="22"/>
      <c r="AQ13" s="22"/>
      <c r="AR13" s="22"/>
      <c r="AS13" s="22"/>
    </row>
    <row r="14" spans="1:45" x14ac:dyDescent="0.3">
      <c r="A14" s="190"/>
      <c r="C14" s="51" t="s">
        <v>320</v>
      </c>
      <c r="D14" s="48"/>
      <c r="E14" s="48"/>
      <c r="F14" s="48"/>
      <c r="G14" s="48"/>
      <c r="H14" s="48"/>
      <c r="I14" s="48"/>
      <c r="J14" s="48"/>
      <c r="K14" s="48"/>
      <c r="L14" s="49"/>
      <c r="M14" s="76"/>
      <c r="N14" s="78"/>
      <c r="O14" s="30"/>
      <c r="P14" s="22"/>
      <c r="Q14" s="22"/>
      <c r="R14" s="71"/>
      <c r="S14" s="71"/>
      <c r="T14" s="71"/>
      <c r="U14" s="71"/>
      <c r="V14" s="71"/>
      <c r="W14" s="71"/>
      <c r="X14" s="71"/>
      <c r="Y14" s="71"/>
      <c r="Z14" s="71"/>
      <c r="AA14" s="71"/>
      <c r="AB14" s="71"/>
      <c r="AC14" s="22"/>
      <c r="AD14" s="22"/>
      <c r="AE14" s="22"/>
      <c r="AF14" s="22"/>
      <c r="AG14" s="22"/>
      <c r="AH14" s="22"/>
      <c r="AI14" s="22"/>
      <c r="AJ14" s="22"/>
      <c r="AK14" s="22"/>
      <c r="AL14" s="22"/>
      <c r="AM14" s="22"/>
      <c r="AN14" s="22"/>
      <c r="AO14" s="22"/>
      <c r="AP14" s="22"/>
      <c r="AQ14" s="22"/>
      <c r="AR14" s="22"/>
      <c r="AS14" s="22"/>
    </row>
    <row r="15" spans="1:45" x14ac:dyDescent="0.3">
      <c r="A15" s="190"/>
      <c r="C15" s="51" t="s">
        <v>321</v>
      </c>
      <c r="D15" s="48"/>
      <c r="E15" s="48"/>
      <c r="F15" s="48"/>
      <c r="G15" s="48"/>
      <c r="H15" s="48"/>
      <c r="I15" s="48"/>
      <c r="J15" s="48"/>
      <c r="K15" s="48"/>
      <c r="L15" s="49"/>
      <c r="M15" s="76"/>
      <c r="N15" s="78"/>
      <c r="O15" s="30"/>
      <c r="P15" s="22"/>
      <c r="Q15" s="187"/>
      <c r="R15" s="71"/>
      <c r="S15" s="71"/>
      <c r="T15" s="71"/>
      <c r="U15" s="71"/>
      <c r="V15" s="71"/>
      <c r="W15" s="71"/>
      <c r="X15" s="71"/>
      <c r="Y15" s="71"/>
      <c r="Z15" s="71"/>
      <c r="AA15" s="71"/>
      <c r="AB15" s="71"/>
      <c r="AC15" s="22"/>
      <c r="AD15" s="22"/>
      <c r="AE15" s="22"/>
      <c r="AF15" s="22"/>
      <c r="AG15" s="22"/>
      <c r="AH15" s="22"/>
      <c r="AI15" s="22"/>
      <c r="AJ15" s="22"/>
      <c r="AK15" s="22"/>
      <c r="AL15" s="22"/>
      <c r="AM15" s="22"/>
      <c r="AN15" s="22"/>
      <c r="AO15" s="22"/>
      <c r="AP15" s="22"/>
      <c r="AQ15" s="22"/>
      <c r="AR15" s="22"/>
      <c r="AS15" s="22"/>
    </row>
    <row r="16" spans="1:45" ht="7.5" customHeight="1" x14ac:dyDescent="0.3">
      <c r="A16" s="190"/>
      <c r="C16" s="48"/>
      <c r="D16" s="48"/>
      <c r="E16" s="48"/>
      <c r="F16" s="48"/>
      <c r="G16" s="48"/>
      <c r="H16" s="48"/>
      <c r="I16" s="48"/>
      <c r="J16" s="48"/>
      <c r="K16" s="48"/>
      <c r="L16" s="49"/>
      <c r="M16" s="76"/>
      <c r="N16" s="78"/>
      <c r="O16" s="30"/>
      <c r="P16" s="22"/>
      <c r="Q16" s="22"/>
      <c r="R16" s="71"/>
      <c r="S16" s="71"/>
      <c r="T16" s="71"/>
      <c r="U16" s="71"/>
      <c r="V16" s="71"/>
      <c r="W16" s="71"/>
      <c r="X16" s="71"/>
      <c r="Y16" s="71"/>
      <c r="Z16" s="71"/>
      <c r="AA16" s="71"/>
      <c r="AB16" s="71"/>
      <c r="AC16" s="22"/>
      <c r="AD16" s="22"/>
      <c r="AE16" s="22"/>
      <c r="AF16" s="22"/>
      <c r="AG16" s="22"/>
      <c r="AH16" s="22"/>
      <c r="AI16" s="22"/>
      <c r="AJ16" s="22"/>
      <c r="AK16" s="22"/>
      <c r="AL16" s="22"/>
      <c r="AM16" s="22"/>
      <c r="AN16" s="22"/>
      <c r="AO16" s="22"/>
      <c r="AP16" s="22"/>
      <c r="AQ16" s="22"/>
      <c r="AR16" s="22"/>
      <c r="AS16" s="22"/>
    </row>
    <row r="17" spans="1:45" ht="42.75" customHeight="1" x14ac:dyDescent="0.3">
      <c r="A17" s="190"/>
      <c r="C17" s="393" t="str">
        <f>IF(A2=1,TBS_Systeme_4,TBS_Systeme_1&amp;VLOOKUP($A$2,Navigation,2,FALSE)&amp;IF(AND(VLOOKUP($A$2,Navigation,4,FALSE)=FALSE,VLOOKUP($A$2,Navigation,5,FALSE)=FALSE),TBS_Systeme_2,TBS_Systeme_3))</f>
        <v>Die Verwendung einer Wärmepumpe (Sole) ist technisch und rechtlich möglich. Bitte mit der Wirtschaftlichkeitsberechnung fortfahren.</v>
      </c>
      <c r="D17" s="393"/>
      <c r="E17" s="393"/>
      <c r="F17" s="393"/>
      <c r="G17" s="393"/>
      <c r="H17" s="393"/>
      <c r="I17" s="393"/>
      <c r="J17" s="393"/>
      <c r="K17" s="393"/>
      <c r="L17" s="393"/>
      <c r="M17" s="76"/>
      <c r="N17" s="78"/>
      <c r="O17" s="267"/>
      <c r="P17" s="54"/>
      <c r="Q17" s="54"/>
      <c r="R17" s="71"/>
      <c r="S17" s="71"/>
      <c r="T17" s="71"/>
      <c r="U17" s="71"/>
      <c r="V17" s="71"/>
      <c r="W17" s="71"/>
      <c r="X17" s="71"/>
      <c r="Y17" s="71"/>
      <c r="Z17" s="71"/>
      <c r="AA17" s="71"/>
      <c r="AB17" s="71"/>
      <c r="AC17" s="22"/>
      <c r="AD17" s="22"/>
      <c r="AE17" s="22"/>
      <c r="AF17" s="22"/>
      <c r="AG17" s="22"/>
      <c r="AH17" s="22"/>
      <c r="AI17" s="22"/>
      <c r="AJ17" s="22"/>
      <c r="AK17" s="22"/>
      <c r="AL17" s="22"/>
      <c r="AM17" s="22"/>
      <c r="AN17" s="22"/>
      <c r="AO17" s="22"/>
      <c r="AP17" s="22"/>
      <c r="AQ17" s="22"/>
      <c r="AR17" s="22"/>
      <c r="AS17" s="22"/>
    </row>
    <row r="18" spans="1:45" ht="16.5" customHeight="1" x14ac:dyDescent="0.3">
      <c r="A18" s="22"/>
      <c r="B18" s="75"/>
      <c r="C18" s="425" t="str">
        <f>IF(INDEX(Status_Systeme,$A$2)=TRUE,"",$A$2&amp;".2 "&amp;UPPER(INDEX(Auswahl!$P$2:$P$6,2)))</f>
        <v>6.2 INVESTITIONSKOSTEN</v>
      </c>
      <c r="D18" s="425"/>
      <c r="E18" s="425"/>
      <c r="F18" s="425"/>
      <c r="G18" s="410" t="str">
        <f>IF(INDEX(Status_Systeme,$A$2)=TRUE,"","Invest-Kosten¹"&amp;CHAR(10)&amp;"[€]")</f>
        <v>Invest-Kosten¹
[€]</v>
      </c>
      <c r="H18" s="410"/>
      <c r="I18" s="410"/>
      <c r="J18" s="410" t="str">
        <f>IF(INDEX(Status_Systeme,$A$2)=TRUE,"","Nutzung"&amp;CHAR(10)&amp;"t [a]")</f>
        <v>Nutzung
t [a]</v>
      </c>
      <c r="K18" s="408" t="str">
        <f>IF(INDEX(Status_Systeme,$A$2)=TRUE,"","Gesamtkosten"&amp;CHAR(2)&amp;CHAR(10)&amp;"nach "&amp;Basis_Betrachtungszeitraum&amp;"a [€]"&amp;CHAR(2))</f>
        <v>Gesamtkosten_x0002_
nach 20a [€]_x0002_</v>
      </c>
      <c r="L18" s="408"/>
      <c r="M18" s="76"/>
      <c r="N18" s="78"/>
      <c r="O18" s="266"/>
      <c r="P18" s="22"/>
      <c r="Q18" s="22"/>
      <c r="R18" s="71"/>
      <c r="S18" s="70" t="s">
        <v>211</v>
      </c>
      <c r="T18" s="404" t="s">
        <v>4</v>
      </c>
      <c r="U18" s="404"/>
      <c r="V18" s="404"/>
      <c r="W18" s="404"/>
      <c r="X18" s="404" t="s">
        <v>2</v>
      </c>
      <c r="Y18" s="404"/>
      <c r="Z18" s="70" t="s">
        <v>355</v>
      </c>
      <c r="AA18" s="71"/>
      <c r="AB18" s="71"/>
      <c r="AC18" s="22"/>
      <c r="AD18" s="22"/>
      <c r="AE18" s="22"/>
      <c r="AF18" s="22"/>
      <c r="AG18" s="22"/>
      <c r="AH18" s="22"/>
      <c r="AI18" s="22"/>
      <c r="AJ18" s="22"/>
      <c r="AK18" s="22"/>
      <c r="AL18" s="22"/>
      <c r="AM18" s="22"/>
      <c r="AN18" s="22"/>
      <c r="AO18" s="22"/>
      <c r="AP18" s="22"/>
      <c r="AQ18" s="22"/>
      <c r="AR18" s="22"/>
      <c r="AS18" s="22"/>
    </row>
    <row r="19" spans="1:45" ht="21" customHeight="1" x14ac:dyDescent="0.3">
      <c r="A19" s="22"/>
      <c r="B19" s="75"/>
      <c r="C19" s="426" t="str">
        <f>IF(INDEX(Status_Systeme,$A$2)=TRUE,"","A | ANLAGENTEILE")</f>
        <v>A | ANLAGENTEILE</v>
      </c>
      <c r="D19" s="426"/>
      <c r="E19" s="426"/>
      <c r="F19" s="426"/>
      <c r="G19" s="411"/>
      <c r="H19" s="411"/>
      <c r="I19" s="411"/>
      <c r="J19" s="411"/>
      <c r="K19" s="409"/>
      <c r="L19" s="409"/>
      <c r="M19" s="76"/>
      <c r="N19" s="78"/>
      <c r="O19" s="30"/>
      <c r="P19" s="22"/>
      <c r="Q19" s="22"/>
      <c r="R19" s="71"/>
      <c r="S19" s="71"/>
      <c r="T19" s="70" t="s">
        <v>361</v>
      </c>
      <c r="U19" s="70" t="s">
        <v>359</v>
      </c>
      <c r="V19" s="70" t="s">
        <v>360</v>
      </c>
      <c r="W19" s="70" t="s">
        <v>358</v>
      </c>
      <c r="X19" s="70" t="s">
        <v>362</v>
      </c>
      <c r="Y19" s="70" t="s">
        <v>358</v>
      </c>
      <c r="Z19" s="70" t="s">
        <v>358</v>
      </c>
      <c r="AA19" s="71"/>
      <c r="AB19" s="71"/>
      <c r="AC19" s="22"/>
      <c r="AD19" s="22"/>
      <c r="AE19" s="22"/>
      <c r="AF19" s="22"/>
      <c r="AG19" s="22"/>
      <c r="AH19" s="22"/>
      <c r="AI19" s="22"/>
      <c r="AJ19" s="22"/>
      <c r="AK19" s="22"/>
      <c r="AL19" s="22"/>
      <c r="AM19" s="22"/>
      <c r="AN19" s="22"/>
      <c r="AO19" s="22"/>
      <c r="AP19" s="22"/>
      <c r="AQ19" s="22"/>
      <c r="AR19" s="22"/>
      <c r="AS19" s="22"/>
    </row>
    <row r="20" spans="1:45" ht="16.5" customHeight="1" x14ac:dyDescent="0.3">
      <c r="A20" s="22"/>
      <c r="B20" s="184" t="str">
        <f>IF(O20="","","!")</f>
        <v>!</v>
      </c>
      <c r="C20" s="420" t="str">
        <f>IF(INDEX(Status_Systeme,$A$2)=TRUE,"",IF(Basis_WW_dezentral=TRUE,Tabellen!AT5,Tabellen!AT4))</f>
        <v>Warmwasserbereitung</v>
      </c>
      <c r="D20" s="420"/>
      <c r="E20" s="420"/>
      <c r="F20" s="420"/>
      <c r="G20" s="406"/>
      <c r="H20" s="406"/>
      <c r="I20" s="406"/>
      <c r="J20" s="60">
        <f>IF(C20="","",VLOOKUP(C20,Tabelle_Kosten_Komponenten,2,FALSE))</f>
        <v>30</v>
      </c>
      <c r="K20" s="405" t="str">
        <f>IF(OR(C20="",G20="",J20=""),"",Z20+W20-Y20)</f>
        <v/>
      </c>
      <c r="L20" s="405"/>
      <c r="M20" s="76"/>
      <c r="N20" s="178" t="str">
        <f>IF(O20="","","ï")</f>
        <v>ï</v>
      </c>
      <c r="O20" s="268" t="str">
        <f>IF(S20=TRUE,"",IF(LEN(C20)&gt;0,IF(G20="",TBS_Fehler_2,""),IF(G20="","",TBS_Fehler_3)))</f>
        <v>Bitte dieses Feld (roter Bereich = Pflichtfeld) ausfüllen!</v>
      </c>
      <c r="P20" s="272"/>
      <c r="Q20" s="22"/>
      <c r="R20" s="71"/>
      <c r="S20" s="72" t="b">
        <f>ISERROR(FIND("optional",C20))=FALSE</f>
        <v>0</v>
      </c>
      <c r="T20" s="72">
        <f>IF((Basis_Betrachtungszeitraum/J20)&lt;=1,0,IF((Basis_Betrachtungszeitraum/J20)&lt;=2,1,2))</f>
        <v>0</v>
      </c>
      <c r="U20" s="326">
        <f>IF(T20&lt;1,0,G20*IF($A$2=1,1,(1-Basis_Foerderung))*(1+Basis_Preisentwicklung_Produkte)^J20)</f>
        <v>0</v>
      </c>
      <c r="V20" s="326">
        <f>IF(T20&gt;1,G20*IF($A$2=1,1,(1-Basis_Foerderung))*(1+Basis_Preisentwicklung_Produkte)^(2*J20),0)</f>
        <v>0</v>
      </c>
      <c r="W20" s="326">
        <f>U20*(1/(1+Basis_Realzins))^J20+V20*(1/(1+Basis_Realzins))^(2*J20)</f>
        <v>0</v>
      </c>
      <c r="X20" s="73">
        <f>IF((INT(Basis_Betrachtungszeitraum/J20)=Basis_Betrachtungszeitraum/J20),1,(J20*(T20+1)-Basis_Betrachtungszeitraum)/J20)</f>
        <v>0.33333333333333331</v>
      </c>
      <c r="Y20" s="326">
        <f>IF(X20=1,0,IF(T20=0,G20*IF($A$2=1,1,(1-Basis_Foerderung)),INDEX(U20:V20,1,T20))*Basis_Diskontsatz*X20)</f>
        <v>0</v>
      </c>
      <c r="Z20" s="326">
        <f>G20*IF($A$2=1,1,(1-Basis_Foerderung))</f>
        <v>0</v>
      </c>
      <c r="AA20" s="71"/>
      <c r="AB20" s="71"/>
      <c r="AC20" s="22"/>
      <c r="AD20" s="22"/>
      <c r="AE20" s="22"/>
      <c r="AF20" s="22"/>
      <c r="AG20" s="22"/>
      <c r="AH20" s="22"/>
      <c r="AI20" s="22"/>
      <c r="AJ20" s="22"/>
      <c r="AK20" s="22"/>
      <c r="AL20" s="22"/>
      <c r="AM20" s="22"/>
      <c r="AN20" s="22"/>
      <c r="AO20" s="22"/>
      <c r="AP20" s="22"/>
      <c r="AQ20" s="22"/>
      <c r="AR20" s="22"/>
      <c r="AS20" s="22"/>
    </row>
    <row r="21" spans="1:45" x14ac:dyDescent="0.3">
      <c r="A21" s="22"/>
      <c r="B21" s="184" t="str">
        <f>IF(O21="","","!")</f>
        <v>!</v>
      </c>
      <c r="C21" s="420" t="str">
        <f>IF(INDEX(Status_Systeme,$A$2)=TRUE,"",IF(INDEX(Tabelle_Komponenten,1,13)="","",INDEX(Tabelle_Komponenten,1,13)))</f>
        <v>Wärmepumpe</v>
      </c>
      <c r="D21" s="420"/>
      <c r="E21" s="420"/>
      <c r="F21" s="420"/>
      <c r="G21" s="406"/>
      <c r="H21" s="406"/>
      <c r="I21" s="406"/>
      <c r="J21" s="60">
        <f>IF(C21="","",VLOOKUP(C21,Tabelle_Kosten_Komponenten,2,FALSE))</f>
        <v>30</v>
      </c>
      <c r="K21" s="405" t="str">
        <f t="shared" ref="K21:K23" si="0">IF(OR(C21="",G21="",J21=""),"",Z21+W21-Y21)</f>
        <v/>
      </c>
      <c r="L21" s="405"/>
      <c r="M21" s="76"/>
      <c r="N21" s="178" t="str">
        <f>IF(O21="","","ï")</f>
        <v>ï</v>
      </c>
      <c r="O21" s="268" t="str">
        <f>IF(S21=TRUE,"",IF(LEN(C21)&gt;0,IF(G21="",TBS_Fehler_2,""),IF(G21="","",TBS_Fehler_3)))</f>
        <v>Bitte dieses Feld (roter Bereich = Pflichtfeld) ausfüllen!</v>
      </c>
      <c r="P21" s="22"/>
      <c r="Q21" s="22"/>
      <c r="R21" s="71"/>
      <c r="S21" s="72" t="b">
        <f>ISERROR(FIND("optional",C21))=FALSE</f>
        <v>0</v>
      </c>
      <c r="T21" s="72">
        <f>IF((Basis_Betrachtungszeitraum/J21)&lt;=1,0,IF((Basis_Betrachtungszeitraum/J21)&lt;=2,1,2))</f>
        <v>0</v>
      </c>
      <c r="U21" s="326">
        <f>IF(T21&lt;1,0,G21*IF($A$2=1,1,(1-Basis_Foerderung))*(1+Basis_Preisentwicklung_Produkte)^J21)</f>
        <v>0</v>
      </c>
      <c r="V21" s="326">
        <f>IF(T21&gt;1,G21*IF($A$2=1,1,(1-Basis_Foerderung))*(1+Basis_Preisentwicklung_Produkte)^(2*J21),0)</f>
        <v>0</v>
      </c>
      <c r="W21" s="326">
        <f>U21*(1/(1+Basis_Realzins))^J21+V21*(1/(1+Basis_Realzins))^(2*J21)</f>
        <v>0</v>
      </c>
      <c r="X21" s="73">
        <f>IF((INT(Basis_Betrachtungszeitraum/J21)=Basis_Betrachtungszeitraum/J21),1,(J21*(T21+1)-Basis_Betrachtungszeitraum)/J21)</f>
        <v>0.33333333333333331</v>
      </c>
      <c r="Y21" s="326">
        <f>IF(X21=1,0,IF(T21=0,G21*IF($A$2=1,1,(1-Basis_Foerderung)),INDEX(U21:V21,1,T21))*Basis_Diskontsatz*X21)</f>
        <v>0</v>
      </c>
      <c r="Z21" s="326">
        <f>G21*IF($A$2=1,1,(1-Basis_Foerderung))</f>
        <v>0</v>
      </c>
      <c r="AA21" s="71"/>
      <c r="AB21" s="71"/>
      <c r="AC21" s="22"/>
      <c r="AD21" s="22"/>
      <c r="AE21" s="22"/>
      <c r="AF21" s="22"/>
      <c r="AG21" s="22"/>
      <c r="AH21" s="22"/>
      <c r="AI21" s="22"/>
      <c r="AJ21" s="22"/>
      <c r="AK21" s="22"/>
      <c r="AL21" s="22"/>
      <c r="AM21" s="22"/>
      <c r="AN21" s="22"/>
      <c r="AO21" s="22"/>
      <c r="AP21" s="22"/>
      <c r="AQ21" s="22"/>
      <c r="AR21" s="22"/>
      <c r="AS21" s="22"/>
    </row>
    <row r="22" spans="1:45" x14ac:dyDescent="0.3">
      <c r="A22" s="22"/>
      <c r="B22" s="184" t="str">
        <f>IF(O22="","","!")</f>
        <v/>
      </c>
      <c r="C22" s="420" t="str">
        <f>IF(INDEX(Status_Systeme,$A$2)=TRUE,"",IF(INDEX(Tabelle_Komponenten,2,13)="","",INDEX(Tabelle_Komponenten,2,13)))</f>
        <v/>
      </c>
      <c r="D22" s="420"/>
      <c r="E22" s="420"/>
      <c r="F22" s="420"/>
      <c r="G22" s="406"/>
      <c r="H22" s="406"/>
      <c r="I22" s="406"/>
      <c r="J22" s="58" t="str">
        <f>IF(C22="","",VLOOKUP(C22,Tabelle_Kosten_Komponenten,2,FALSE))</f>
        <v/>
      </c>
      <c r="K22" s="405" t="str">
        <f t="shared" si="0"/>
        <v/>
      </c>
      <c r="L22" s="405"/>
      <c r="M22" s="76"/>
      <c r="N22" s="178" t="str">
        <f>IF(O22="","","ï")</f>
        <v/>
      </c>
      <c r="O22" s="268" t="str">
        <f>IF(S22=TRUE,"",IF(LEN(C22)&gt;0,IF(G22="",TBS_Fehler_2,""),IF(G22="","",TBS_Fehler_3)))</f>
        <v/>
      </c>
      <c r="P22" s="22"/>
      <c r="Q22" s="22"/>
      <c r="R22" s="71"/>
      <c r="S22" s="72" t="b">
        <f>ISERROR(FIND("optional",C22))=FALSE</f>
        <v>0</v>
      </c>
      <c r="T22" s="72" t="e">
        <f>IF((Basis_Betrachtungszeitraum/J22)&lt;=1,0,IF((Basis_Betrachtungszeitraum/J22)&lt;=2,1,2))</f>
        <v>#VALUE!</v>
      </c>
      <c r="U22" s="326" t="e">
        <f>IF(T22&lt;1,0,G22*IF($A$2=1,1,(1-Basis_Foerderung))*(1+Basis_Preisentwicklung_Produkte)^J22)</f>
        <v>#VALUE!</v>
      </c>
      <c r="V22" s="326" t="e">
        <f>IF(T22&gt;1,G22*IF($A$2=1,1,(1-Basis_Foerderung))*(1+Basis_Preisentwicklung_Produkte)^(2*J22),0)</f>
        <v>#VALUE!</v>
      </c>
      <c r="W22" s="326" t="e">
        <f>U22*(1/(1+Basis_Realzins))^J22+V22*(1/(1+Basis_Realzins))^(2*J22)</f>
        <v>#VALUE!</v>
      </c>
      <c r="X22" s="73" t="e">
        <f>IF((INT(Basis_Betrachtungszeitraum/J22)=Basis_Betrachtungszeitraum/J22),1,(J22*(T22+1)-Basis_Betrachtungszeitraum)/J22)</f>
        <v>#VALUE!</v>
      </c>
      <c r="Y22" s="326" t="e">
        <f>IF(X22=1,0,IF(T22=0,G22*IF($A$2=1,1,(1-Basis_Foerderung)),INDEX(U22:V22,1,T22))*Basis_Diskontsatz*X22)</f>
        <v>#VALUE!</v>
      </c>
      <c r="Z22" s="326">
        <f>G22*IF($A$2=1,1,(1-Basis_Foerderung))</f>
        <v>0</v>
      </c>
      <c r="AA22" s="71"/>
      <c r="AB22" s="71"/>
      <c r="AC22" s="22"/>
      <c r="AD22" s="22"/>
      <c r="AE22" s="22"/>
      <c r="AF22" s="22"/>
      <c r="AG22" s="22"/>
      <c r="AH22" s="22"/>
      <c r="AI22" s="22"/>
      <c r="AJ22" s="22"/>
      <c r="AK22" s="22"/>
      <c r="AL22" s="22"/>
      <c r="AM22" s="22"/>
      <c r="AN22" s="22"/>
      <c r="AO22" s="22"/>
      <c r="AP22" s="22"/>
      <c r="AQ22" s="22"/>
      <c r="AR22" s="22"/>
      <c r="AS22" s="22"/>
    </row>
    <row r="23" spans="1:45" x14ac:dyDescent="0.3">
      <c r="A23" s="22"/>
      <c r="B23" s="184" t="str">
        <f>IF(O23="","","!")</f>
        <v/>
      </c>
      <c r="C23" s="420" t="str">
        <f>IF(INDEX(Status_Systeme,$A$2)=TRUE,"",IF(INDEX(Tabelle_Komponenten,3,13)="","",INDEX(Tabelle_Komponenten,3,13)))</f>
        <v/>
      </c>
      <c r="D23" s="420"/>
      <c r="E23" s="420"/>
      <c r="F23" s="420"/>
      <c r="G23" s="406"/>
      <c r="H23" s="406"/>
      <c r="I23" s="406"/>
      <c r="J23" s="58" t="str">
        <f>IF(C23="","",VLOOKUP(C23,Tabelle_Kosten_Komponenten,2,FALSE))</f>
        <v/>
      </c>
      <c r="K23" s="405" t="str">
        <f t="shared" si="0"/>
        <v/>
      </c>
      <c r="L23" s="405"/>
      <c r="M23" s="76"/>
      <c r="N23" s="178" t="str">
        <f>IF(O23="","","ï")</f>
        <v/>
      </c>
      <c r="O23" s="268" t="str">
        <f>IF(S23=TRUE,"",IF(LEN(C23)&gt;0,IF(G23="",TBS_Fehler_2,""),IF(G23="","",TBS_Fehler_3)))</f>
        <v/>
      </c>
      <c r="P23" s="22"/>
      <c r="Q23" s="22"/>
      <c r="R23" s="71"/>
      <c r="S23" s="72" t="b">
        <f>ISERROR(FIND("optional",C23))=FALSE</f>
        <v>0</v>
      </c>
      <c r="T23" s="72" t="e">
        <f>IF((Basis_Betrachtungszeitraum/J23)&lt;=1,0,IF((Basis_Betrachtungszeitraum/J23)&lt;=2,1,2))</f>
        <v>#VALUE!</v>
      </c>
      <c r="U23" s="326" t="e">
        <f>IF(T23&lt;1,0,G23*IF($A$2=1,1,(1-Basis_Foerderung))*(1+Basis_Preisentwicklung_Produkte)^J23)</f>
        <v>#VALUE!</v>
      </c>
      <c r="V23" s="326" t="e">
        <f>IF(T23&gt;1,G23*IF($A$2=1,1,(1-Basis_Foerderung))*(1+Basis_Preisentwicklung_Produkte)^(2*J23),0)</f>
        <v>#VALUE!</v>
      </c>
      <c r="W23" s="326" t="e">
        <f>U23*(1/(1+Basis_Realzins))^J23+V23*(1/(1+Basis_Realzins))^(2*J23)</f>
        <v>#VALUE!</v>
      </c>
      <c r="X23" s="73" t="e">
        <f>IF((INT(Basis_Betrachtungszeitraum/J23)=Basis_Betrachtungszeitraum/J23),1,(J23*(T23+1)-Basis_Betrachtungszeitraum)/J23)</f>
        <v>#VALUE!</v>
      </c>
      <c r="Y23" s="326" t="e">
        <f>IF(X23=1,0,IF(T23=0,G23*IF($A$2=1,1,(1-Basis_Foerderung)),INDEX(U23:V23,1,T23))*Basis_Diskontsatz*X23)</f>
        <v>#VALUE!</v>
      </c>
      <c r="Z23" s="326">
        <f>G23*IF($A$2=1,1,(1-Basis_Foerderung))</f>
        <v>0</v>
      </c>
      <c r="AA23" s="71"/>
      <c r="AB23" s="71"/>
      <c r="AC23" s="22"/>
      <c r="AD23" s="22"/>
      <c r="AE23" s="22"/>
      <c r="AF23" s="22"/>
      <c r="AG23" s="22"/>
      <c r="AH23" s="22"/>
      <c r="AI23" s="22"/>
      <c r="AJ23" s="22"/>
      <c r="AK23" s="22"/>
      <c r="AL23" s="22"/>
      <c r="AM23" s="22"/>
      <c r="AN23" s="22"/>
      <c r="AO23" s="22"/>
      <c r="AP23" s="22"/>
      <c r="AQ23" s="22"/>
      <c r="AR23" s="22"/>
      <c r="AS23" s="22"/>
    </row>
    <row r="24" spans="1:45" ht="21" customHeight="1" x14ac:dyDescent="0.3">
      <c r="A24" s="22"/>
      <c r="B24" s="75"/>
      <c r="C24" s="242" t="str">
        <f>IF(INDEX(Status_Systeme,$A$2)=TRUE,"","B | BAULICHE MASSNAHMEN")</f>
        <v>B | BAULICHE MASSNAHMEN</v>
      </c>
      <c r="D24" s="188"/>
      <c r="E24" s="188"/>
      <c r="F24" s="188"/>
      <c r="G24" s="161"/>
      <c r="H24" s="161"/>
      <c r="I24" s="161"/>
      <c r="J24" s="188"/>
      <c r="K24" s="188"/>
      <c r="L24" s="188"/>
      <c r="M24" s="76"/>
      <c r="N24" s="78"/>
      <c r="O24" s="268"/>
      <c r="P24" s="64"/>
      <c r="Q24" s="22"/>
      <c r="R24" s="71"/>
      <c r="S24" s="71"/>
      <c r="T24" s="71"/>
      <c r="U24" s="71"/>
      <c r="V24" s="71"/>
      <c r="W24" s="71"/>
      <c r="X24" s="71"/>
      <c r="Y24" s="71"/>
      <c r="Z24" s="71"/>
      <c r="AA24" s="71"/>
      <c r="AB24" s="71"/>
      <c r="AC24" s="22"/>
      <c r="AD24" s="22"/>
      <c r="AE24" s="22"/>
      <c r="AF24" s="22"/>
      <c r="AG24" s="22"/>
      <c r="AH24" s="22"/>
      <c r="AI24" s="22"/>
      <c r="AJ24" s="22"/>
      <c r="AK24" s="22"/>
      <c r="AL24" s="22"/>
      <c r="AM24" s="22"/>
      <c r="AN24" s="22"/>
      <c r="AO24" s="22"/>
      <c r="AP24" s="22"/>
      <c r="AQ24" s="22"/>
      <c r="AR24" s="22"/>
      <c r="AS24" s="22"/>
    </row>
    <row r="25" spans="1:45" x14ac:dyDescent="0.3">
      <c r="A25" s="22"/>
      <c r="B25" s="184" t="str">
        <f t="shared" ref="B25:B31" si="1">IF(O25="","","!")</f>
        <v>!</v>
      </c>
      <c r="C25" s="420" t="str">
        <f>IF(INDEX(Status_Systeme,$A$2)=TRUE,"",IF(INDEX(Tabelle_Komponenten,8,13)="","",INDEX(Tabelle_Komponenten,8,13)))</f>
        <v>Kollektor / Sonde inkl. Tiefbauarbeiten</v>
      </c>
      <c r="D25" s="420"/>
      <c r="E25" s="420"/>
      <c r="F25" s="420"/>
      <c r="G25" s="406"/>
      <c r="H25" s="406"/>
      <c r="I25" s="406"/>
      <c r="J25" s="60">
        <f t="shared" ref="J25:J31" si="2">IF(C25="","",VLOOKUP(C25,Tabelle_Kosten_Komponenten,2,FALSE))</f>
        <v>30</v>
      </c>
      <c r="K25" s="405" t="str">
        <f t="shared" ref="K25" si="3">IF(OR(C25="",G25="",J25=""),"",Z25+W25-Y25)</f>
        <v/>
      </c>
      <c r="L25" s="405"/>
      <c r="M25" s="76"/>
      <c r="N25" s="178" t="str">
        <f t="shared" ref="N25:N31" si="4">IF(O25="","","ï")</f>
        <v>ï</v>
      </c>
      <c r="O25" s="268" t="str">
        <f t="shared" ref="O25:O31" si="5">IF(S25=TRUE,"",IF(LEN(C25)&gt;0,IF(G25="",TBS_Fehler_2,""),IF(G25="","",TBS_Fehler_3)))</f>
        <v>Bitte dieses Feld (roter Bereich = Pflichtfeld) ausfüllen!</v>
      </c>
      <c r="P25" s="272"/>
      <c r="Q25" s="22"/>
      <c r="R25" s="71"/>
      <c r="S25" s="72" t="b">
        <f>ISERROR(FIND("optional",C25))=FALSE</f>
        <v>0</v>
      </c>
      <c r="T25" s="72">
        <f t="shared" ref="T25:T31" si="6">IF((Basis_Betrachtungszeitraum/J25)&lt;=1,0,IF((Basis_Betrachtungszeitraum/J25)&lt;=2,1,2))</f>
        <v>0</v>
      </c>
      <c r="U25" s="326">
        <f t="shared" ref="U25:U31" si="7">IF(T25&lt;1,0,G25*IF($A$2=1,1,(1-Basis_Foerderung))*(1+Basis_Preisentwicklung_Produkte)^J25)</f>
        <v>0</v>
      </c>
      <c r="V25" s="326">
        <f t="shared" ref="V25:V31" si="8">IF(T25&gt;1,G25*IF($A$2=1,1,(1-Basis_Foerderung))*(1+Basis_Preisentwicklung_Produkte)^(2*J25),0)</f>
        <v>0</v>
      </c>
      <c r="W25" s="326">
        <f t="shared" ref="W25:W31" si="9">U25*(1/(1+Basis_Realzins))^J25+V25*(1/(1+Basis_Realzins))^(2*J25)</f>
        <v>0</v>
      </c>
      <c r="X25" s="73">
        <f t="shared" ref="X25:X31" si="10">IF((INT(Basis_Betrachtungszeitraum/J25)=Basis_Betrachtungszeitraum/J25),1,(J25*(T25+1)-Basis_Betrachtungszeitraum)/J25)</f>
        <v>0.33333333333333331</v>
      </c>
      <c r="Y25" s="326">
        <f t="shared" ref="Y25:Y31" si="11">IF(X25=1,0,IF(T25=0,G25*IF($A$2=1,1,(1-Basis_Foerderung)),INDEX(U25:V25,1,T25))*Basis_Diskontsatz*X25)</f>
        <v>0</v>
      </c>
      <c r="Z25" s="326">
        <f t="shared" ref="Z25:Z31" si="12">G25*IF($A$2=1,1,(1-Basis_Foerderung))</f>
        <v>0</v>
      </c>
      <c r="AA25" s="71"/>
      <c r="AB25" s="71"/>
      <c r="AC25" s="22"/>
      <c r="AD25" s="22"/>
      <c r="AE25" s="22"/>
      <c r="AF25" s="22"/>
      <c r="AG25" s="22"/>
      <c r="AH25" s="22"/>
      <c r="AI25" s="22"/>
      <c r="AJ25" s="22"/>
      <c r="AK25" s="22"/>
      <c r="AL25" s="22"/>
      <c r="AM25" s="22"/>
      <c r="AN25" s="22"/>
      <c r="AO25" s="22"/>
      <c r="AP25" s="22"/>
      <c r="AQ25" s="22"/>
      <c r="AR25" s="22"/>
      <c r="AS25" s="22"/>
    </row>
    <row r="26" spans="1:45" x14ac:dyDescent="0.3">
      <c r="A26" s="22"/>
      <c r="B26" s="184" t="str">
        <f t="shared" si="1"/>
        <v>!</v>
      </c>
      <c r="C26" s="414" t="str">
        <f>IF(INDEX(Status_Systeme,$A$2)=TRUE,"",IF(INDEX(Tabelle_Komponenten,9,13)="","",INDEX(Tabelle_Komponenten,9,13)))</f>
        <v>Behördenverfahren</v>
      </c>
      <c r="D26" s="414"/>
      <c r="E26" s="414"/>
      <c r="F26" s="414"/>
      <c r="G26" s="406"/>
      <c r="H26" s="406"/>
      <c r="I26" s="406"/>
      <c r="J26" s="60">
        <f t="shared" si="2"/>
        <v>50</v>
      </c>
      <c r="K26" s="405" t="str">
        <f t="shared" ref="K26:K31" si="13">IF(OR(C26="",G26="",J26=""),"",Z26+W26-Y26)</f>
        <v/>
      </c>
      <c r="L26" s="405"/>
      <c r="M26" s="76"/>
      <c r="N26" s="178" t="str">
        <f t="shared" si="4"/>
        <v>ï</v>
      </c>
      <c r="O26" s="268" t="str">
        <f t="shared" si="5"/>
        <v>Bitte dieses Feld (roter Bereich = Pflichtfeld) ausfüllen!</v>
      </c>
      <c r="P26" s="65"/>
      <c r="Q26" s="22"/>
      <c r="R26" s="71"/>
      <c r="S26" s="72" t="b">
        <f>ISERROR(FIND("optional",C26))=FALSE</f>
        <v>0</v>
      </c>
      <c r="T26" s="72">
        <f t="shared" si="6"/>
        <v>0</v>
      </c>
      <c r="U26" s="326">
        <f t="shared" si="7"/>
        <v>0</v>
      </c>
      <c r="V26" s="326">
        <f t="shared" si="8"/>
        <v>0</v>
      </c>
      <c r="W26" s="326">
        <f t="shared" si="9"/>
        <v>0</v>
      </c>
      <c r="X26" s="73">
        <f t="shared" si="10"/>
        <v>0.6</v>
      </c>
      <c r="Y26" s="326">
        <f t="shared" si="11"/>
        <v>0</v>
      </c>
      <c r="Z26" s="326">
        <f t="shared" si="12"/>
        <v>0</v>
      </c>
      <c r="AA26" s="71"/>
      <c r="AB26" s="71"/>
      <c r="AC26" s="22"/>
      <c r="AD26" s="22"/>
      <c r="AE26" s="22"/>
      <c r="AF26" s="22"/>
      <c r="AG26" s="22"/>
      <c r="AH26" s="22"/>
      <c r="AI26" s="22"/>
      <c r="AJ26" s="22"/>
      <c r="AK26" s="22"/>
      <c r="AL26" s="22"/>
      <c r="AM26" s="22"/>
      <c r="AN26" s="22"/>
      <c r="AO26" s="22"/>
      <c r="AP26" s="22"/>
      <c r="AQ26" s="22"/>
      <c r="AR26" s="22"/>
      <c r="AS26" s="22"/>
    </row>
    <row r="27" spans="1:45" x14ac:dyDescent="0.3">
      <c r="A27" s="22"/>
      <c r="B27" s="184" t="str">
        <f t="shared" si="1"/>
        <v/>
      </c>
      <c r="C27" s="414" t="str">
        <f>IF(INDEX(Status_Systeme,$A$2)=TRUE,"",IF(INDEX(Tabelle_Komponenten,10,13)="","",INDEX(Tabelle_Komponenten,10,13)))</f>
        <v/>
      </c>
      <c r="D27" s="414"/>
      <c r="E27" s="414"/>
      <c r="F27" s="414"/>
      <c r="G27" s="406"/>
      <c r="H27" s="406"/>
      <c r="I27" s="406"/>
      <c r="J27" s="60" t="str">
        <f t="shared" si="2"/>
        <v/>
      </c>
      <c r="K27" s="405" t="str">
        <f t="shared" si="13"/>
        <v/>
      </c>
      <c r="L27" s="405"/>
      <c r="M27" s="76"/>
      <c r="N27" s="178" t="str">
        <f t="shared" si="4"/>
        <v/>
      </c>
      <c r="O27" s="268" t="str">
        <f t="shared" si="5"/>
        <v/>
      </c>
      <c r="P27" s="22"/>
      <c r="Q27" s="22"/>
      <c r="R27" s="71"/>
      <c r="S27" s="72" t="b">
        <f>ISERROR(FIND("optional",C27))=FALSE</f>
        <v>0</v>
      </c>
      <c r="T27" s="72" t="e">
        <f t="shared" si="6"/>
        <v>#VALUE!</v>
      </c>
      <c r="U27" s="326" t="e">
        <f t="shared" si="7"/>
        <v>#VALUE!</v>
      </c>
      <c r="V27" s="326" t="e">
        <f t="shared" si="8"/>
        <v>#VALUE!</v>
      </c>
      <c r="W27" s="326" t="e">
        <f t="shared" si="9"/>
        <v>#VALUE!</v>
      </c>
      <c r="X27" s="73" t="e">
        <f t="shared" si="10"/>
        <v>#VALUE!</v>
      </c>
      <c r="Y27" s="326" t="e">
        <f t="shared" si="11"/>
        <v>#VALUE!</v>
      </c>
      <c r="Z27" s="326">
        <f t="shared" si="12"/>
        <v>0</v>
      </c>
      <c r="AA27" s="71"/>
      <c r="AB27" s="71"/>
      <c r="AC27" s="22"/>
      <c r="AD27" s="22"/>
      <c r="AE27" s="22"/>
      <c r="AF27" s="22"/>
      <c r="AG27" s="22"/>
      <c r="AH27" s="22"/>
      <c r="AI27" s="22"/>
      <c r="AJ27" s="22"/>
      <c r="AK27" s="22"/>
      <c r="AL27" s="22"/>
      <c r="AM27" s="22"/>
      <c r="AN27" s="22"/>
      <c r="AO27" s="22"/>
      <c r="AP27" s="22"/>
      <c r="AQ27" s="22"/>
      <c r="AR27" s="22"/>
      <c r="AS27" s="22"/>
    </row>
    <row r="28" spans="1:45" x14ac:dyDescent="0.3">
      <c r="A28" s="22"/>
      <c r="B28" s="184" t="str">
        <f t="shared" si="1"/>
        <v/>
      </c>
      <c r="C28" s="414" t="str">
        <f>IF(INDEX(Status_Systeme,$A$2)=TRUE,"",IF(INDEX(Tabelle_Komponenten,11,13)="","",INDEX(Tabelle_Komponenten,11,13)))</f>
        <v/>
      </c>
      <c r="D28" s="414"/>
      <c r="E28" s="414"/>
      <c r="F28" s="414"/>
      <c r="G28" s="406"/>
      <c r="H28" s="406"/>
      <c r="I28" s="406"/>
      <c r="J28" s="60" t="str">
        <f t="shared" si="2"/>
        <v/>
      </c>
      <c r="K28" s="405" t="str">
        <f t="shared" si="13"/>
        <v/>
      </c>
      <c r="L28" s="405"/>
      <c r="M28" s="76"/>
      <c r="N28" s="178" t="str">
        <f t="shared" si="4"/>
        <v/>
      </c>
      <c r="O28" s="268" t="str">
        <f t="shared" si="5"/>
        <v/>
      </c>
      <c r="P28" s="22"/>
      <c r="Q28" s="22"/>
      <c r="R28" s="71"/>
      <c r="S28" s="72" t="b">
        <f>ISERROR(FIND("optional",C28))=FALSE</f>
        <v>0</v>
      </c>
      <c r="T28" s="72" t="e">
        <f t="shared" si="6"/>
        <v>#VALUE!</v>
      </c>
      <c r="U28" s="326" t="e">
        <f t="shared" si="7"/>
        <v>#VALUE!</v>
      </c>
      <c r="V28" s="326" t="e">
        <f t="shared" si="8"/>
        <v>#VALUE!</v>
      </c>
      <c r="W28" s="326" t="e">
        <f t="shared" si="9"/>
        <v>#VALUE!</v>
      </c>
      <c r="X28" s="73" t="e">
        <f t="shared" si="10"/>
        <v>#VALUE!</v>
      </c>
      <c r="Y28" s="326" t="e">
        <f t="shared" si="11"/>
        <v>#VALUE!</v>
      </c>
      <c r="Z28" s="326">
        <f t="shared" si="12"/>
        <v>0</v>
      </c>
      <c r="AA28" s="71"/>
      <c r="AB28" s="71"/>
      <c r="AC28" s="22"/>
      <c r="AD28" s="22"/>
      <c r="AE28" s="22"/>
      <c r="AF28" s="22"/>
      <c r="AG28" s="22"/>
      <c r="AH28" s="22"/>
      <c r="AI28" s="22"/>
      <c r="AJ28" s="22"/>
      <c r="AK28" s="22"/>
      <c r="AL28" s="22"/>
      <c r="AM28" s="22"/>
      <c r="AN28" s="22"/>
      <c r="AO28" s="22"/>
      <c r="AP28" s="22"/>
      <c r="AQ28" s="22"/>
      <c r="AR28" s="22"/>
      <c r="AS28" s="22"/>
    </row>
    <row r="29" spans="1:45" x14ac:dyDescent="0.3">
      <c r="A29" s="22"/>
      <c r="B29" s="184" t="str">
        <f t="shared" si="1"/>
        <v/>
      </c>
      <c r="C29" s="414" t="str">
        <f>IF(INDEX(Status_Systeme,$A$2)=TRUE,"",IF(INDEX(Tabelle_Komponenten,12,13)="","",INDEX(Tabelle_Komponenten,12,13)))</f>
        <v/>
      </c>
      <c r="D29" s="414"/>
      <c r="E29" s="414"/>
      <c r="F29" s="414"/>
      <c r="G29" s="406"/>
      <c r="H29" s="406"/>
      <c r="I29" s="406"/>
      <c r="J29" s="60" t="str">
        <f t="shared" si="2"/>
        <v/>
      </c>
      <c r="K29" s="405" t="str">
        <f t="shared" si="13"/>
        <v/>
      </c>
      <c r="L29" s="405"/>
      <c r="M29" s="76"/>
      <c r="N29" s="178" t="str">
        <f t="shared" si="4"/>
        <v/>
      </c>
      <c r="O29" s="268" t="str">
        <f t="shared" si="5"/>
        <v/>
      </c>
      <c r="P29" s="22"/>
      <c r="Q29" s="22"/>
      <c r="R29" s="71"/>
      <c r="S29" s="72" t="b">
        <f>ISERROR(FIND("optional",C29))=FALSE</f>
        <v>0</v>
      </c>
      <c r="T29" s="72" t="e">
        <f t="shared" si="6"/>
        <v>#VALUE!</v>
      </c>
      <c r="U29" s="326" t="e">
        <f t="shared" si="7"/>
        <v>#VALUE!</v>
      </c>
      <c r="V29" s="326" t="e">
        <f t="shared" si="8"/>
        <v>#VALUE!</v>
      </c>
      <c r="W29" s="326" t="e">
        <f t="shared" si="9"/>
        <v>#VALUE!</v>
      </c>
      <c r="X29" s="73" t="e">
        <f t="shared" si="10"/>
        <v>#VALUE!</v>
      </c>
      <c r="Y29" s="326" t="e">
        <f t="shared" si="11"/>
        <v>#VALUE!</v>
      </c>
      <c r="Z29" s="326">
        <f t="shared" si="12"/>
        <v>0</v>
      </c>
      <c r="AA29" s="71"/>
      <c r="AB29" s="71"/>
      <c r="AC29" s="22"/>
      <c r="AD29" s="22"/>
      <c r="AE29" s="22"/>
      <c r="AF29" s="22"/>
      <c r="AG29" s="22"/>
      <c r="AH29" s="22"/>
      <c r="AI29" s="22"/>
      <c r="AJ29" s="22"/>
      <c r="AK29" s="22"/>
      <c r="AL29" s="22"/>
      <c r="AM29" s="22"/>
      <c r="AN29" s="22"/>
      <c r="AO29" s="22"/>
      <c r="AP29" s="22"/>
      <c r="AQ29" s="22"/>
      <c r="AR29" s="22"/>
      <c r="AS29" s="22"/>
    </row>
    <row r="30" spans="1:45" x14ac:dyDescent="0.3">
      <c r="A30" s="22"/>
      <c r="B30" s="184" t="str">
        <f t="shared" si="1"/>
        <v/>
      </c>
      <c r="C30" s="414" t="str">
        <f>IF(INDEX(Status_Systeme,$A$2)=TRUE,"",IF(INDEX(Tabelle_Komponenten,5,13)="","",INDEX(Tabelle_Komponenten,5,13)))</f>
        <v/>
      </c>
      <c r="D30" s="414"/>
      <c r="E30" s="414"/>
      <c r="F30" s="414"/>
      <c r="G30" s="406"/>
      <c r="H30" s="406"/>
      <c r="I30" s="406"/>
      <c r="J30" s="60" t="str">
        <f t="shared" si="2"/>
        <v/>
      </c>
      <c r="K30" s="405" t="str">
        <f t="shared" si="13"/>
        <v/>
      </c>
      <c r="L30" s="405"/>
      <c r="M30" s="76"/>
      <c r="N30" s="178" t="str">
        <f t="shared" si="4"/>
        <v/>
      </c>
      <c r="O30" s="268" t="str">
        <f t="shared" si="5"/>
        <v/>
      </c>
      <c r="P30" s="22"/>
      <c r="Q30" s="22"/>
      <c r="R30" s="71"/>
      <c r="S30" s="72" t="b">
        <f t="shared" ref="S30:S31" si="14">ISERROR(FIND("optional",C30))=FALSE</f>
        <v>0</v>
      </c>
      <c r="T30" s="72" t="e">
        <f t="shared" si="6"/>
        <v>#VALUE!</v>
      </c>
      <c r="U30" s="326" t="e">
        <f t="shared" si="7"/>
        <v>#VALUE!</v>
      </c>
      <c r="V30" s="326" t="e">
        <f t="shared" si="8"/>
        <v>#VALUE!</v>
      </c>
      <c r="W30" s="326" t="e">
        <f t="shared" si="9"/>
        <v>#VALUE!</v>
      </c>
      <c r="X30" s="73" t="e">
        <f t="shared" si="10"/>
        <v>#VALUE!</v>
      </c>
      <c r="Y30" s="326" t="e">
        <f t="shared" si="11"/>
        <v>#VALUE!</v>
      </c>
      <c r="Z30" s="326">
        <f t="shared" si="12"/>
        <v>0</v>
      </c>
      <c r="AA30" s="71"/>
      <c r="AB30" s="71"/>
      <c r="AC30" s="22"/>
      <c r="AD30" s="22"/>
      <c r="AE30" s="22"/>
      <c r="AF30" s="22"/>
      <c r="AG30" s="22"/>
      <c r="AH30" s="22"/>
      <c r="AI30" s="22"/>
      <c r="AJ30" s="22"/>
      <c r="AK30" s="22"/>
      <c r="AL30" s="22"/>
      <c r="AM30" s="22"/>
      <c r="AN30" s="22"/>
      <c r="AO30" s="22"/>
      <c r="AP30" s="22"/>
      <c r="AQ30" s="22"/>
      <c r="AR30" s="22"/>
      <c r="AS30" s="22"/>
    </row>
    <row r="31" spans="1:45" x14ac:dyDescent="0.3">
      <c r="A31" s="22"/>
      <c r="B31" s="184" t="str">
        <f t="shared" si="1"/>
        <v/>
      </c>
      <c r="C31" s="414" t="str">
        <f>IF(INDEX(Status_Systeme,$A$2)=TRUE,"",IF(INDEX(Tabelle_Komponenten,6,13)="","",INDEX(Tabelle_Komponenten,6,13)))</f>
        <v/>
      </c>
      <c r="D31" s="414"/>
      <c r="E31" s="414"/>
      <c r="F31" s="414"/>
      <c r="G31" s="406"/>
      <c r="H31" s="406"/>
      <c r="I31" s="406"/>
      <c r="J31" s="60" t="str">
        <f t="shared" si="2"/>
        <v/>
      </c>
      <c r="K31" s="405" t="str">
        <f t="shared" si="13"/>
        <v/>
      </c>
      <c r="L31" s="405"/>
      <c r="M31" s="76"/>
      <c r="N31" s="178" t="str">
        <f t="shared" si="4"/>
        <v/>
      </c>
      <c r="O31" s="268" t="str">
        <f t="shared" si="5"/>
        <v/>
      </c>
      <c r="P31" s="22"/>
      <c r="Q31" s="22"/>
      <c r="R31" s="71"/>
      <c r="S31" s="72" t="b">
        <f t="shared" si="14"/>
        <v>0</v>
      </c>
      <c r="T31" s="72" t="e">
        <f t="shared" si="6"/>
        <v>#VALUE!</v>
      </c>
      <c r="U31" s="326" t="e">
        <f t="shared" si="7"/>
        <v>#VALUE!</v>
      </c>
      <c r="V31" s="326" t="e">
        <f t="shared" si="8"/>
        <v>#VALUE!</v>
      </c>
      <c r="W31" s="326" t="e">
        <f t="shared" si="9"/>
        <v>#VALUE!</v>
      </c>
      <c r="X31" s="73" t="e">
        <f t="shared" si="10"/>
        <v>#VALUE!</v>
      </c>
      <c r="Y31" s="326" t="e">
        <f t="shared" si="11"/>
        <v>#VALUE!</v>
      </c>
      <c r="Z31" s="326">
        <f t="shared" si="12"/>
        <v>0</v>
      </c>
      <c r="AA31" s="71"/>
      <c r="AB31" s="71"/>
      <c r="AC31" s="22"/>
      <c r="AD31" s="22"/>
      <c r="AE31" s="22"/>
      <c r="AF31" s="22"/>
      <c r="AG31" s="22"/>
      <c r="AH31" s="22"/>
      <c r="AI31" s="22"/>
      <c r="AJ31" s="22"/>
      <c r="AK31" s="22"/>
      <c r="AL31" s="22"/>
      <c r="AM31" s="22"/>
      <c r="AN31" s="22"/>
      <c r="AO31" s="22"/>
      <c r="AP31" s="22"/>
      <c r="AQ31" s="22"/>
      <c r="AR31" s="22"/>
      <c r="AS31" s="22"/>
    </row>
    <row r="32" spans="1:45" ht="21" customHeight="1" x14ac:dyDescent="0.3">
      <c r="A32" s="22"/>
      <c r="B32" s="75"/>
      <c r="C32" s="242" t="str">
        <f>IF(INDEX(Status_Systeme,$A$2)=TRUE,"","C | FREIE EINGABE")</f>
        <v>C | FREIE EINGABE</v>
      </c>
      <c r="D32" s="188"/>
      <c r="E32" s="188"/>
      <c r="F32" s="188"/>
      <c r="G32" s="161"/>
      <c r="H32" s="161"/>
      <c r="I32" s="161"/>
      <c r="J32" s="188"/>
      <c r="K32" s="188"/>
      <c r="L32" s="188"/>
      <c r="M32" s="76"/>
      <c r="N32" s="78"/>
      <c r="O32" s="30"/>
      <c r="P32" s="22"/>
      <c r="Q32" s="22"/>
      <c r="R32" s="71"/>
      <c r="S32" s="71"/>
      <c r="T32" s="71"/>
      <c r="U32" s="71"/>
      <c r="V32" s="71"/>
      <c r="W32" s="71"/>
      <c r="X32" s="71"/>
      <c r="Y32" s="71"/>
      <c r="Z32" s="71"/>
      <c r="AA32" s="71"/>
      <c r="AB32" s="71"/>
      <c r="AC32" s="22"/>
      <c r="AD32" s="22"/>
      <c r="AE32" s="22"/>
      <c r="AF32" s="22"/>
      <c r="AG32" s="22"/>
      <c r="AH32" s="22"/>
      <c r="AI32" s="22"/>
      <c r="AJ32" s="22"/>
      <c r="AK32" s="22"/>
      <c r="AL32" s="22"/>
      <c r="AM32" s="22"/>
      <c r="AN32" s="22"/>
      <c r="AO32" s="22"/>
      <c r="AP32" s="22"/>
      <c r="AQ32" s="22"/>
      <c r="AR32" s="22"/>
      <c r="AS32" s="22"/>
    </row>
    <row r="33" spans="1:45" x14ac:dyDescent="0.3">
      <c r="A33" s="22"/>
      <c r="B33" s="184" t="str">
        <f>IF(O33="","","!")</f>
        <v/>
      </c>
      <c r="C33" s="422"/>
      <c r="D33" s="422"/>
      <c r="E33" s="422"/>
      <c r="F33" s="422"/>
      <c r="G33" s="406"/>
      <c r="H33" s="406"/>
      <c r="I33" s="406"/>
      <c r="J33" s="191"/>
      <c r="K33" s="405" t="str">
        <f t="shared" ref="K33" si="15">IF(OR(C33="",G33="",J33=""),"",Z33+W33-Y33)</f>
        <v/>
      </c>
      <c r="L33" s="405"/>
      <c r="M33" s="76"/>
      <c r="N33" s="178" t="str">
        <f>IF(O33="","","ï")</f>
        <v/>
      </c>
      <c r="O33" s="221" t="str">
        <f>IF(AND(INDEX(Status_Systeme,$A$2)=TRUE,S33&gt;0),TBS_Fehler_3,IF(OR(S33=0,S33=3),"",TBS_Fehler_2))</f>
        <v/>
      </c>
      <c r="P33" s="22"/>
      <c r="Q33" s="22"/>
      <c r="R33" s="71"/>
      <c r="S33" s="72">
        <f>COUNTA(C33,G33,J33)</f>
        <v>0</v>
      </c>
      <c r="T33" s="72" t="e">
        <f>IF((Basis_Betrachtungszeitraum/J33)&lt;=1,0,IF((Basis_Betrachtungszeitraum/J33)&lt;=2,1,2))</f>
        <v>#DIV/0!</v>
      </c>
      <c r="U33" s="326" t="e">
        <f>IF(T33&lt;1,0,G33*IF($A$2=1,1,(1-Basis_Foerderung))*(1+Basis_Preisentwicklung_Produkte)^J33)</f>
        <v>#DIV/0!</v>
      </c>
      <c r="V33" s="326" t="e">
        <f>IF(T33&gt;1,G33*IF($A$2=1,1,(1-Basis_Foerderung))*(1+Basis_Preisentwicklung_Produkte)^(2*J33),0)</f>
        <v>#DIV/0!</v>
      </c>
      <c r="W33" s="326" t="e">
        <f>U33*(1/(1+Basis_Realzins))^J33+V33*(1/(1+Basis_Realzins))^(2*J33)</f>
        <v>#DIV/0!</v>
      </c>
      <c r="X33" s="73" t="e">
        <f>IF((INT(Basis_Betrachtungszeitraum/J33)=Basis_Betrachtungszeitraum/J33),1,(J33*(T33+1)-Basis_Betrachtungszeitraum)/J33)</f>
        <v>#DIV/0!</v>
      </c>
      <c r="Y33" s="326" t="e">
        <f>IF(X33=1,0,IF(T33=0,G33*IF($A$2=1,1,(1-Basis_Foerderung)),INDEX(U33:V33,1,T33))*Basis_Diskontsatz*X33)</f>
        <v>#DIV/0!</v>
      </c>
      <c r="Z33" s="326">
        <f>G33*IF($A$2=1,1,(1-Basis_Foerderung))</f>
        <v>0</v>
      </c>
      <c r="AA33" s="71"/>
      <c r="AB33" s="71"/>
      <c r="AC33" s="22"/>
      <c r="AD33" s="22"/>
      <c r="AE33" s="22"/>
      <c r="AF33" s="22"/>
      <c r="AG33" s="22"/>
      <c r="AH33" s="22"/>
      <c r="AI33" s="22"/>
      <c r="AJ33" s="22"/>
      <c r="AK33" s="22"/>
      <c r="AL33" s="22"/>
      <c r="AM33" s="22"/>
      <c r="AN33" s="22"/>
      <c r="AO33" s="22"/>
      <c r="AP33" s="22"/>
      <c r="AQ33" s="22"/>
      <c r="AR33" s="22"/>
      <c r="AS33" s="22"/>
    </row>
    <row r="34" spans="1:45" x14ac:dyDescent="0.3">
      <c r="A34" s="22"/>
      <c r="B34" s="184" t="str">
        <f>IF(O34="","","!")</f>
        <v/>
      </c>
      <c r="C34" s="423"/>
      <c r="D34" s="423"/>
      <c r="E34" s="423"/>
      <c r="F34" s="423"/>
      <c r="G34" s="406"/>
      <c r="H34" s="406"/>
      <c r="I34" s="406"/>
      <c r="J34" s="192"/>
      <c r="K34" s="405" t="str">
        <f t="shared" ref="K34:K35" si="16">IF(OR(C34="",G34="",J34=""),"",Z34+W34-Y34)</f>
        <v/>
      </c>
      <c r="L34" s="405"/>
      <c r="M34" s="76"/>
      <c r="N34" s="178" t="str">
        <f>IF(O34="","","ï")</f>
        <v/>
      </c>
      <c r="O34" s="221" t="str">
        <f>IF(AND(INDEX(Status_Systeme,$A$2)=TRUE,S34&gt;0),TBS_Fehler_3,IF(OR(S34=0,S34=3),"",TBS_Fehler_2))</f>
        <v/>
      </c>
      <c r="P34" s="22"/>
      <c r="Q34" s="22"/>
      <c r="R34" s="71"/>
      <c r="S34" s="72">
        <f>COUNTA(C34,G34,J34)</f>
        <v>0</v>
      </c>
      <c r="T34" s="72" t="e">
        <f>IF((Basis_Betrachtungszeitraum/J34)&lt;=1,0,IF((Basis_Betrachtungszeitraum/J34)&lt;=2,1,2))</f>
        <v>#DIV/0!</v>
      </c>
      <c r="U34" s="326" t="e">
        <f>IF(T34&lt;1,0,G34*IF($A$2=1,1,(1-Basis_Foerderung))*(1+Basis_Preisentwicklung_Produkte)^J34)</f>
        <v>#DIV/0!</v>
      </c>
      <c r="V34" s="326" t="e">
        <f>IF(T34&gt;1,G34*IF($A$2=1,1,(1-Basis_Foerderung))*(1+Basis_Preisentwicklung_Produkte)^(2*J34),0)</f>
        <v>#DIV/0!</v>
      </c>
      <c r="W34" s="326" t="e">
        <f>U34*(1/(1+Basis_Realzins))^J34+V34*(1/(1+Basis_Realzins))^(2*J34)</f>
        <v>#DIV/0!</v>
      </c>
      <c r="X34" s="73" t="e">
        <f>IF((INT(Basis_Betrachtungszeitraum/J34)=Basis_Betrachtungszeitraum/J34),1,(J34*(T34+1)-Basis_Betrachtungszeitraum)/J34)</f>
        <v>#DIV/0!</v>
      </c>
      <c r="Y34" s="326" t="e">
        <f>IF(X34=1,0,IF(T34=0,G34*IF($A$2=1,1,(1-Basis_Foerderung)),INDEX(U34:V34,1,T34))*Basis_Diskontsatz*X34)</f>
        <v>#DIV/0!</v>
      </c>
      <c r="Z34" s="326">
        <f>G34*IF($A$2=1,1,(1-Basis_Foerderung))</f>
        <v>0</v>
      </c>
      <c r="AA34" s="71"/>
      <c r="AB34" s="71"/>
      <c r="AC34" s="22"/>
      <c r="AD34" s="22"/>
      <c r="AE34" s="22"/>
      <c r="AF34" s="22"/>
      <c r="AG34" s="22"/>
      <c r="AH34" s="22"/>
      <c r="AI34" s="22"/>
      <c r="AJ34" s="22"/>
      <c r="AK34" s="22"/>
      <c r="AL34" s="22"/>
      <c r="AM34" s="22"/>
      <c r="AN34" s="22"/>
      <c r="AO34" s="22"/>
      <c r="AP34" s="22"/>
      <c r="AQ34" s="22"/>
      <c r="AR34" s="22"/>
      <c r="AS34" s="22"/>
    </row>
    <row r="35" spans="1:45" x14ac:dyDescent="0.3">
      <c r="A35" s="22"/>
      <c r="B35" s="184" t="str">
        <f>IF(O35="","","!")</f>
        <v/>
      </c>
      <c r="C35" s="423"/>
      <c r="D35" s="423"/>
      <c r="E35" s="423"/>
      <c r="F35" s="423"/>
      <c r="G35" s="406"/>
      <c r="H35" s="406"/>
      <c r="I35" s="406"/>
      <c r="J35" s="192"/>
      <c r="K35" s="405" t="str">
        <f t="shared" si="16"/>
        <v/>
      </c>
      <c r="L35" s="405"/>
      <c r="M35" s="76"/>
      <c r="N35" s="178" t="str">
        <f>IF(O35="","","ï")</f>
        <v/>
      </c>
      <c r="O35" s="221" t="str">
        <f>IF(AND(INDEX(Status_Systeme,$A$2)=TRUE,S35&gt;0),TBS_Fehler_3,IF(OR(S35=0,S35=3),"",TBS_Fehler_2))</f>
        <v/>
      </c>
      <c r="P35" s="22"/>
      <c r="Q35" s="22"/>
      <c r="R35" s="71"/>
      <c r="S35" s="72">
        <f>COUNTA(C35,G35,J35)</f>
        <v>0</v>
      </c>
      <c r="T35" s="72" t="e">
        <f>IF((Basis_Betrachtungszeitraum/J35)&lt;=1,0,IF((Basis_Betrachtungszeitraum/J35)&lt;=2,1,2))</f>
        <v>#DIV/0!</v>
      </c>
      <c r="U35" s="326" t="e">
        <f>IF(T35&lt;1,0,G35*IF($A$2=1,1,(1-Basis_Foerderung))*(1+Basis_Preisentwicklung_Produkte)^J35)</f>
        <v>#DIV/0!</v>
      </c>
      <c r="V35" s="326" t="e">
        <f>IF(T35&gt;1,G35*IF($A$2=1,1,(1-Basis_Foerderung))*(1+Basis_Preisentwicklung_Produkte)^(2*J35),0)</f>
        <v>#DIV/0!</v>
      </c>
      <c r="W35" s="326" t="e">
        <f>U35*(1/(1+Basis_Realzins))^J35+V35*(1/(1+Basis_Realzins))^(2*J35)</f>
        <v>#DIV/0!</v>
      </c>
      <c r="X35" s="73" t="e">
        <f>IF((INT(Basis_Betrachtungszeitraum/J35)=Basis_Betrachtungszeitraum/J35),1,(J35*(T35+1)-Basis_Betrachtungszeitraum)/J35)</f>
        <v>#DIV/0!</v>
      </c>
      <c r="Y35" s="326" t="e">
        <f>IF(X35=1,0,IF(T35=0,G35*IF($A$2=1,1,(1-Basis_Foerderung)),INDEX(U35:V35,1,T35))*Basis_Diskontsatz*X35)</f>
        <v>#DIV/0!</v>
      </c>
      <c r="Z35" s="326">
        <f>G35*IF($A$2=1,1,(1-Basis_Foerderung))</f>
        <v>0</v>
      </c>
      <c r="AA35" s="71"/>
      <c r="AB35" s="71"/>
      <c r="AC35" s="22"/>
      <c r="AD35" s="22"/>
      <c r="AE35" s="22"/>
      <c r="AF35" s="22"/>
      <c r="AG35" s="22"/>
      <c r="AH35" s="22"/>
      <c r="AI35" s="22"/>
      <c r="AJ35" s="22"/>
      <c r="AK35" s="22"/>
      <c r="AL35" s="22"/>
      <c r="AM35" s="22"/>
      <c r="AN35" s="22"/>
      <c r="AO35" s="22"/>
      <c r="AP35" s="22"/>
      <c r="AQ35" s="22"/>
      <c r="AR35" s="22"/>
      <c r="AS35" s="22"/>
    </row>
    <row r="36" spans="1:45" ht="21" customHeight="1" x14ac:dyDescent="0.3">
      <c r="A36" s="22"/>
      <c r="B36" s="75"/>
      <c r="C36" s="242" t="str">
        <f>IF(INDEX(Status_Systeme,$A$2)=TRUE,"","D | SUMME")</f>
        <v>D | SUMME</v>
      </c>
      <c r="D36" s="188"/>
      <c r="E36" s="188"/>
      <c r="F36" s="188"/>
      <c r="G36" s="161"/>
      <c r="H36" s="161"/>
      <c r="I36" s="161"/>
      <c r="J36" s="188"/>
      <c r="K36" s="412" t="str">
        <f>IF(INDEX(Status_Systeme,$A$2)=TRUE,"",IF(SUM(K20:L35)=0,"",SUM(K20:L35)))</f>
        <v/>
      </c>
      <c r="L36" s="413"/>
      <c r="M36" s="76"/>
      <c r="N36" s="78"/>
      <c r="O36" s="30"/>
      <c r="P36" s="22"/>
      <c r="Q36" s="22"/>
      <c r="R36" s="71"/>
      <c r="S36" s="71"/>
      <c r="T36" s="71"/>
      <c r="U36" s="71"/>
      <c r="V36" s="71"/>
      <c r="W36" s="71"/>
      <c r="X36" s="71"/>
      <c r="Y36" s="71"/>
      <c r="Z36" s="71"/>
      <c r="AA36" s="71"/>
      <c r="AB36" s="71"/>
      <c r="AC36" s="22"/>
      <c r="AD36" s="22"/>
      <c r="AE36" s="22"/>
      <c r="AF36" s="22"/>
      <c r="AG36" s="22"/>
      <c r="AH36" s="22"/>
      <c r="AI36" s="22"/>
      <c r="AJ36" s="22"/>
      <c r="AK36" s="22"/>
      <c r="AL36" s="22"/>
      <c r="AM36" s="22"/>
      <c r="AN36" s="22"/>
      <c r="AO36" s="22"/>
      <c r="AP36" s="22"/>
      <c r="AQ36" s="22"/>
      <c r="AR36" s="22"/>
      <c r="AS36" s="22"/>
    </row>
    <row r="37" spans="1:45" ht="30" customHeight="1" x14ac:dyDescent="0.3">
      <c r="A37" s="22"/>
      <c r="B37" s="75"/>
      <c r="C37" s="424"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24"/>
      <c r="E37" s="424"/>
      <c r="F37" s="424"/>
      <c r="G37" s="424"/>
      <c r="H37" s="424"/>
      <c r="I37" s="424"/>
      <c r="J37" s="424"/>
      <c r="K37" s="424"/>
      <c r="L37" s="424"/>
      <c r="M37" s="76"/>
      <c r="N37" s="78"/>
      <c r="O37" s="30"/>
      <c r="P37" s="22"/>
      <c r="Q37" s="22"/>
      <c r="R37" s="71"/>
      <c r="S37" s="71"/>
      <c r="T37" s="71"/>
      <c r="U37" s="71"/>
      <c r="V37" s="71"/>
      <c r="W37" s="71"/>
      <c r="X37" s="71"/>
      <c r="Y37" s="71"/>
      <c r="Z37" s="71"/>
      <c r="AA37" s="71"/>
      <c r="AB37" s="71"/>
      <c r="AC37" s="22"/>
      <c r="AD37" s="22"/>
      <c r="AE37" s="22"/>
      <c r="AF37" s="22"/>
      <c r="AG37" s="22"/>
      <c r="AH37" s="22"/>
      <c r="AI37" s="22"/>
      <c r="AJ37" s="22"/>
      <c r="AK37" s="22"/>
      <c r="AL37" s="22"/>
      <c r="AM37" s="22"/>
      <c r="AN37" s="22"/>
      <c r="AO37" s="22"/>
      <c r="AP37" s="22"/>
      <c r="AQ37" s="22"/>
      <c r="AR37" s="22"/>
      <c r="AS37" s="22"/>
    </row>
    <row r="38" spans="1:45" ht="16.5" customHeight="1" x14ac:dyDescent="0.3">
      <c r="A38" s="22"/>
      <c r="B38" s="75"/>
      <c r="C38" s="415" t="str">
        <f>IF(INDEX(Status_Systeme,$A$2)=TRUE,"",$A$2&amp;".3 "&amp;UPPER(INDEX(Auswahl!$P$2:$P$6,3)))</f>
        <v>6.3 BETRIEBSKOSTEN</v>
      </c>
      <c r="D38" s="415"/>
      <c r="E38" s="415"/>
      <c r="F38" s="415"/>
      <c r="G38" s="160"/>
      <c r="H38" s="160"/>
      <c r="I38" s="160"/>
      <c r="J38" s="410" t="str">
        <f>IF(INDEX(Status_Systeme,$A$2)=TRUE,"","laufende Kosten"&amp;IF(C41="","","²")&amp;" [€/a]")</f>
        <v>laufende Kosten [€/a]</v>
      </c>
      <c r="K38" s="408" t="str">
        <f>IF(INDEX(Status_Systeme,$A$2)=TRUE,"","Gesamtkosten"&amp;CHAR(2)&amp;CHAR(10)&amp;"nach "&amp;Basis_Betrachtungszeitraum&amp;"a [€]"&amp;CHAR(2))</f>
        <v>Gesamtkosten_x0002_
nach 20a [€]_x0002_</v>
      </c>
      <c r="L38" s="408"/>
      <c r="M38" s="76"/>
      <c r="N38" s="78"/>
      <c r="O38" s="30"/>
      <c r="P38" s="22"/>
      <c r="Q38" s="22"/>
      <c r="R38" s="71"/>
      <c r="S38" s="71"/>
      <c r="T38" s="71"/>
      <c r="U38" s="128"/>
      <c r="V38" s="128"/>
      <c r="W38" s="71"/>
      <c r="X38" s="71"/>
      <c r="Y38" s="71"/>
      <c r="Z38" s="71"/>
      <c r="AA38" s="71"/>
      <c r="AB38" s="71"/>
      <c r="AC38" s="22"/>
      <c r="AD38" s="22"/>
      <c r="AE38" s="22"/>
      <c r="AF38" s="22"/>
      <c r="AG38" s="22"/>
      <c r="AH38" s="22"/>
      <c r="AI38" s="22"/>
      <c r="AJ38" s="22"/>
      <c r="AK38" s="22"/>
      <c r="AL38" s="22"/>
      <c r="AM38" s="22"/>
      <c r="AN38" s="22"/>
      <c r="AO38" s="22"/>
      <c r="AP38" s="22"/>
      <c r="AQ38" s="22"/>
      <c r="AR38" s="22"/>
      <c r="AS38" s="22"/>
    </row>
    <row r="39" spans="1:45" ht="21" customHeight="1" x14ac:dyDescent="0.3">
      <c r="A39" s="22"/>
      <c r="B39" s="75"/>
      <c r="C39" s="416"/>
      <c r="D39" s="416"/>
      <c r="E39" s="416"/>
      <c r="F39" s="416"/>
      <c r="G39" s="417"/>
      <c r="H39" s="417"/>
      <c r="I39" s="417"/>
      <c r="J39" s="411"/>
      <c r="K39" s="409"/>
      <c r="L39" s="409"/>
      <c r="M39" s="76"/>
      <c r="N39" s="78"/>
      <c r="O39" s="30"/>
      <c r="P39" s="22"/>
      <c r="Q39" s="22"/>
      <c r="R39" s="71"/>
      <c r="S39" s="71"/>
      <c r="T39" s="71"/>
      <c r="U39" s="128"/>
      <c r="V39" s="128"/>
      <c r="W39" s="71"/>
      <c r="X39" s="71"/>
      <c r="Y39" s="71"/>
      <c r="Z39" s="71"/>
      <c r="AA39" s="71"/>
      <c r="AB39" s="71"/>
      <c r="AC39" s="22"/>
      <c r="AD39" s="22"/>
      <c r="AE39" s="22"/>
      <c r="AF39" s="22"/>
      <c r="AG39" s="22"/>
      <c r="AH39" s="22"/>
      <c r="AI39" s="22"/>
      <c r="AJ39" s="22"/>
      <c r="AK39" s="22"/>
      <c r="AL39" s="22"/>
      <c r="AM39" s="22"/>
      <c r="AN39" s="22"/>
      <c r="AO39" s="22"/>
      <c r="AP39" s="22"/>
      <c r="AQ39" s="22"/>
      <c r="AR39" s="22"/>
      <c r="AS39" s="22"/>
    </row>
    <row r="40" spans="1:45" x14ac:dyDescent="0.3">
      <c r="A40" s="22"/>
      <c r="B40" s="75"/>
      <c r="C40" s="420" t="str">
        <f>IF(INDEX(Status_Systeme,$A$2)=TRUE,"","Wartung und Instandhaltung")</f>
        <v>Wartung und Instandhaltung</v>
      </c>
      <c r="D40" s="420"/>
      <c r="E40" s="420"/>
      <c r="F40" s="420"/>
      <c r="G40" s="421"/>
      <c r="H40" s="421"/>
      <c r="I40" s="421"/>
      <c r="J40" s="256" t="str">
        <f>IF(INDEX(Status_Systeme,$A$2)=TRUE,"",INDEX(Basis_BK_calc,$A$2))</f>
        <v>---</v>
      </c>
      <c r="K40" s="405" t="e">
        <f>IF(J40="","",J40*Basis_Barwertfaktor*Basis_Barwertfaktor_Instandhaltung)</f>
        <v>#VALUE!</v>
      </c>
      <c r="L40" s="405"/>
      <c r="M40" s="76"/>
      <c r="N40" s="78"/>
      <c r="O40" s="30"/>
      <c r="P40" s="55"/>
      <c r="Q40" s="55"/>
      <c r="R40" s="71"/>
      <c r="S40" s="106"/>
      <c r="T40" s="71"/>
      <c r="U40" s="128"/>
      <c r="V40" s="128"/>
      <c r="W40" s="71"/>
      <c r="X40" s="71"/>
      <c r="Y40" s="71"/>
      <c r="Z40" s="71"/>
      <c r="AA40" s="71"/>
      <c r="AB40" s="71"/>
      <c r="AC40" s="22"/>
      <c r="AD40" s="22"/>
      <c r="AE40" s="22"/>
      <c r="AF40" s="22"/>
      <c r="AG40" s="22"/>
      <c r="AH40" s="22"/>
      <c r="AI40" s="22"/>
      <c r="AJ40" s="22"/>
      <c r="AK40" s="22"/>
      <c r="AL40" s="22"/>
      <c r="AM40" s="22"/>
      <c r="AN40" s="22"/>
      <c r="AO40" s="22"/>
      <c r="AP40" s="22"/>
      <c r="AQ40" s="22"/>
      <c r="AR40" s="22"/>
      <c r="AS40" s="22"/>
    </row>
    <row r="41" spans="1:45" x14ac:dyDescent="0.3">
      <c r="A41" s="22"/>
      <c r="C41" s="224" t="str">
        <f>IF(INDEX(Status_Systeme,$A$2)=TRUE,"",IF(EA_BGF&gt;=3000,"² Betriebskosten lt. CostOpt 2019, Änderung in Registerblatt "&amp;Auswahl!G10&amp;" | "&amp;Auswahl!H10&amp;" möglich.",""))</f>
        <v/>
      </c>
      <c r="D41" s="53"/>
      <c r="E41" s="53"/>
      <c r="F41" s="53"/>
      <c r="G41" s="53"/>
      <c r="H41" s="53"/>
      <c r="I41" s="53"/>
      <c r="J41" s="53"/>
      <c r="K41" s="53"/>
      <c r="L41" s="50"/>
      <c r="M41" s="76"/>
      <c r="N41" s="78"/>
      <c r="O41" s="30"/>
      <c r="P41" s="24"/>
      <c r="Q41" s="24"/>
      <c r="R41" s="71"/>
      <c r="S41" s="71"/>
      <c r="T41" s="71"/>
      <c r="U41" s="128"/>
      <c r="V41" s="128"/>
      <c r="W41" s="71"/>
      <c r="X41" s="71"/>
      <c r="Y41" s="71"/>
      <c r="Z41" s="71"/>
      <c r="AA41" s="71"/>
      <c r="AB41" s="71"/>
      <c r="AC41" s="22"/>
      <c r="AD41" s="22"/>
      <c r="AE41" s="22"/>
      <c r="AF41" s="22"/>
      <c r="AG41" s="22"/>
      <c r="AH41" s="22"/>
      <c r="AI41" s="22"/>
      <c r="AJ41" s="22"/>
      <c r="AK41" s="22"/>
      <c r="AL41" s="22"/>
      <c r="AM41" s="22"/>
      <c r="AN41" s="22"/>
      <c r="AO41" s="22"/>
      <c r="AP41" s="22"/>
      <c r="AQ41" s="22"/>
      <c r="AR41" s="22"/>
      <c r="AS41" s="22"/>
    </row>
    <row r="42" spans="1:45" ht="7.5" customHeight="1" x14ac:dyDescent="0.3">
      <c r="A42" s="22"/>
      <c r="C42" s="52"/>
      <c r="D42" s="53"/>
      <c r="E42" s="53"/>
      <c r="F42" s="53"/>
      <c r="G42" s="53"/>
      <c r="H42" s="53"/>
      <c r="I42" s="53"/>
      <c r="J42" s="53"/>
      <c r="K42" s="53"/>
      <c r="L42" s="50"/>
      <c r="M42" s="76"/>
      <c r="N42" s="78"/>
      <c r="O42" s="30"/>
      <c r="P42" s="24"/>
      <c r="Q42" s="24"/>
      <c r="R42" s="71"/>
      <c r="S42" s="71"/>
      <c r="T42" s="71"/>
      <c r="U42" s="128"/>
      <c r="V42" s="128"/>
      <c r="W42" s="71"/>
      <c r="X42" s="71"/>
      <c r="Y42" s="71"/>
      <c r="Z42" s="71"/>
      <c r="AA42" s="71"/>
      <c r="AB42" s="71"/>
      <c r="AC42" s="22"/>
      <c r="AD42" s="22"/>
      <c r="AE42" s="22"/>
      <c r="AF42" s="22"/>
      <c r="AG42" s="22"/>
      <c r="AH42" s="22"/>
      <c r="AI42" s="22"/>
      <c r="AJ42" s="22"/>
      <c r="AK42" s="22"/>
      <c r="AL42" s="22"/>
      <c r="AM42" s="22"/>
      <c r="AN42" s="22"/>
      <c r="AO42" s="22"/>
      <c r="AP42" s="22"/>
      <c r="AQ42" s="22"/>
      <c r="AR42" s="22"/>
      <c r="AS42" s="22"/>
    </row>
    <row r="43" spans="1:45" ht="37.5" customHeight="1" x14ac:dyDescent="0.3">
      <c r="A43" s="22"/>
      <c r="B43" s="75"/>
      <c r="C43" s="416" t="str">
        <f>IF(INDEX(Status_Systeme,$A$2)=TRUE,"",$A$2&amp;".4 "&amp;UPPER(INDEX(Auswahl!$P$2:$P$6,4)))</f>
        <v>6.4 ENERGIEKOSTEN</v>
      </c>
      <c r="D43" s="416"/>
      <c r="E43" s="416"/>
      <c r="F43" s="416"/>
      <c r="G43" s="411" t="str">
        <f>IF(INDEX(Status_Systeme,$A$2)=TRUE,"","Energiebedarf"&amp;CHAR(10)&amp;"[kWh/a]")</f>
        <v>Energiebedarf
[kWh/a]</v>
      </c>
      <c r="H43" s="411"/>
      <c r="I43" s="411"/>
      <c r="J43" s="67" t="str">
        <f>IF(INDEX(Status_Systeme,$A$2)=TRUE,"","Energiepreis"&amp;IF(C46="","",IF(C41="","²","³"))&amp;CHAR(10)&amp;"[€/kWh]")</f>
        <v>Energiepreis²
[€/kWh]</v>
      </c>
      <c r="K43" s="409" t="str">
        <f>IF(INDEX(Status_Systeme,$A$2)=TRUE,"","Gesamtkosten"&amp;CHAR(2)&amp;CHAR(10)&amp;"nach "&amp;Basis_Betrachtungszeitraum&amp;"a [€]"&amp;CHAR(2))</f>
        <v>Gesamtkosten_x0002_
nach 20a [€]_x0002_</v>
      </c>
      <c r="L43" s="409"/>
      <c r="M43" s="76"/>
      <c r="N43" s="78"/>
      <c r="O43" s="30"/>
      <c r="P43" s="22"/>
      <c r="Q43" s="22"/>
      <c r="R43" s="71"/>
      <c r="S43" s="70" t="s">
        <v>180</v>
      </c>
      <c r="T43" s="70" t="s">
        <v>160</v>
      </c>
      <c r="U43" s="70" t="s">
        <v>161</v>
      </c>
      <c r="V43" s="70" t="s">
        <v>162</v>
      </c>
      <c r="W43" s="71"/>
      <c r="X43" s="71"/>
      <c r="Y43" s="71"/>
      <c r="Z43" s="71"/>
      <c r="AA43" s="71"/>
      <c r="AB43" s="71"/>
      <c r="AC43" s="22"/>
      <c r="AD43" s="22"/>
      <c r="AE43" s="22"/>
      <c r="AF43" s="22"/>
      <c r="AG43" s="22"/>
      <c r="AH43" s="22"/>
      <c r="AI43" s="22"/>
      <c r="AJ43" s="22"/>
      <c r="AK43" s="22"/>
      <c r="AL43" s="22"/>
      <c r="AM43" s="22"/>
      <c r="AN43" s="22"/>
      <c r="AO43" s="22"/>
      <c r="AP43" s="22"/>
      <c r="AQ43" s="22"/>
      <c r="AR43" s="22"/>
      <c r="AS43" s="22"/>
    </row>
    <row r="44" spans="1:45" x14ac:dyDescent="0.3">
      <c r="A44" s="22"/>
      <c r="B44" s="75"/>
      <c r="C44" s="81" t="str">
        <f>IF(INDEX(Status_Systeme,$A$2)=TRUE,"","A | RAUMWÄRME")</f>
        <v>A | RAUMWÄRME</v>
      </c>
      <c r="D44" s="414" t="str">
        <f>IF(INDEX(Status_Systeme,$A$2)=TRUE,"",VLOOKUP(Auswahl!$H$9,Tabelle_Betriebskosten,2,FALSE))</f>
        <v>Strom</v>
      </c>
      <c r="E44" s="414"/>
      <c r="F44" s="414"/>
      <c r="G44" s="418">
        <f>IF(INDEX(Status_Systeme,$A$2)=TRUE,"",EA_QhSK_calc*INDEX(EA_EAWZ_RH_calc,$A$2))</f>
        <v>0</v>
      </c>
      <c r="H44" s="418"/>
      <c r="I44" s="418"/>
      <c r="J44" s="59">
        <f>IF(OR(D44="",G44=""),"",VLOOKUP(D44,Tabelle_Energie,8,FALSE))</f>
        <v>0.16250000000000001</v>
      </c>
      <c r="K44" s="419">
        <f>IF(J44="","",J44*G44*V44)</f>
        <v>0</v>
      </c>
      <c r="L44" s="419"/>
      <c r="M44" s="76"/>
      <c r="N44" s="78"/>
      <c r="O44" s="30"/>
      <c r="P44" s="55"/>
      <c r="Q44" s="55"/>
      <c r="R44" s="71"/>
      <c r="S44" s="72" t="b">
        <f>VLOOKUP(D44,Tabelle_Energie,6,FALSE)=VLOOKUP(D44,Tabelle_Energie,7,FALSE)</f>
        <v>0</v>
      </c>
      <c r="T44" s="105">
        <f>VLOOKUP(D44,Tabelle_Energie,5,FALSE)</f>
        <v>2.4E-2</v>
      </c>
      <c r="U44" s="103">
        <f>(1-((1+T44)/(1+Basis_Marktzins))^Basis_Betrachtungszeitraum)/(1-((1+Basis_Inflation)/(1+Basis_Marktzins))^Basis_Betrachtungszeitraum)*((Basis_Marktzins-Basis_Inflation)/(1+Basis_Inflation))/((Basis_Marktzins-T44)/(1+T44))</f>
        <v>1.0392951829175132</v>
      </c>
      <c r="V44" s="103">
        <f>Basis_Barwertfaktor*U44</f>
        <v>16.692401383076287</v>
      </c>
      <c r="W44" s="71"/>
      <c r="X44" s="71"/>
      <c r="Y44" s="71"/>
      <c r="Z44" s="71"/>
      <c r="AA44" s="71"/>
      <c r="AB44" s="71"/>
      <c r="AC44" s="22"/>
      <c r="AD44" s="22"/>
      <c r="AE44" s="22"/>
      <c r="AF44" s="22"/>
      <c r="AG44" s="22"/>
      <c r="AH44" s="22"/>
      <c r="AI44" s="22"/>
      <c r="AJ44" s="22"/>
      <c r="AK44" s="22"/>
      <c r="AL44" s="22"/>
      <c r="AM44" s="22"/>
      <c r="AN44" s="22"/>
      <c r="AO44" s="22"/>
      <c r="AP44" s="22"/>
      <c r="AQ44" s="22"/>
      <c r="AR44" s="22"/>
      <c r="AS44" s="22"/>
    </row>
    <row r="45" spans="1:45" x14ac:dyDescent="0.3">
      <c r="A45" s="22"/>
      <c r="B45" s="75"/>
      <c r="C45" s="81" t="str">
        <f>IF(INDEX(Status_Systeme,$A$2)=TRUE,"","B | WARMWASSER")</f>
        <v>B | WARMWASSER</v>
      </c>
      <c r="D45" s="414" t="str">
        <f>IF(INDEX(Status_Systeme,$A$2)=TRUE,"",IF(Basis_WW_dezentral=FALSE,D44,INDEX(Tabelle_Energie,8,1)))</f>
        <v>Strom</v>
      </c>
      <c r="E45" s="414"/>
      <c r="F45" s="414"/>
      <c r="G45" s="418">
        <f>IF(INDEX(Status_Systeme,$A$2)=TRUE,"",EA_Qtw_calc*INDEX(EA_EAWZ_WW_calc,$A$2))</f>
        <v>0</v>
      </c>
      <c r="H45" s="418"/>
      <c r="I45" s="418"/>
      <c r="J45" s="59">
        <f>IF(OR(D45="",G45=""),"",VLOOKUP(D45,Tabelle_Energie,8,FALSE))</f>
        <v>0.16250000000000001</v>
      </c>
      <c r="K45" s="419">
        <f>IF(J45="","",J45*G45*V45)</f>
        <v>0</v>
      </c>
      <c r="L45" s="419"/>
      <c r="M45" s="76"/>
      <c r="N45" s="78"/>
      <c r="O45" s="30"/>
      <c r="P45" s="55"/>
      <c r="Q45" s="55"/>
      <c r="R45" s="71"/>
      <c r="S45" s="72" t="b">
        <f>VLOOKUP(D45,Tabelle_Energie,6,FALSE)=VLOOKUP(D45,Tabelle_Energie,7,FALSE)</f>
        <v>0</v>
      </c>
      <c r="T45" s="105">
        <f>VLOOKUP(D45,Tabelle_Energie,5,FALSE)</f>
        <v>2.4E-2</v>
      </c>
      <c r="U45" s="103">
        <f>(1-((1+T45)/(1+Basis_Marktzins))^Basis_Betrachtungszeitraum)/(1-((1+Basis_Inflation)/(1+Basis_Marktzins))^Basis_Betrachtungszeitraum)*((Basis_Marktzins-Basis_Inflation)/(1+Basis_Inflation))/((Basis_Marktzins-T45)/(1+T45))</f>
        <v>1.0392951829175132</v>
      </c>
      <c r="V45" s="103">
        <f>Basis_Barwertfaktor*U45</f>
        <v>16.692401383076287</v>
      </c>
      <c r="W45" s="71"/>
      <c r="X45" s="71"/>
      <c r="Y45" s="71"/>
      <c r="Z45" s="71"/>
      <c r="AA45" s="71"/>
      <c r="AB45" s="71"/>
      <c r="AC45" s="22"/>
      <c r="AD45" s="22"/>
      <c r="AE45" s="22"/>
      <c r="AF45" s="22"/>
      <c r="AG45" s="22"/>
      <c r="AH45" s="22"/>
      <c r="AI45" s="22"/>
      <c r="AJ45" s="22"/>
      <c r="AK45" s="22"/>
      <c r="AL45" s="22"/>
      <c r="AM45" s="22"/>
      <c r="AN45" s="22"/>
      <c r="AO45" s="22"/>
      <c r="AP45" s="22"/>
      <c r="AQ45" s="22"/>
      <c r="AR45" s="22"/>
      <c r="AS45" s="22"/>
    </row>
    <row r="46" spans="1:45" x14ac:dyDescent="0.3">
      <c r="A46" s="22"/>
      <c r="C46" s="224" t="str">
        <f>IF(INDEX(Status_Systeme,$A$2)=TRUE,"",IF(OR(EA_BGF&gt;=3000,EA_WG=FALSE),IF(C41="","²","³")&amp;" Energiekosten lt. CostOpt 2019, Änderung in Registerblatt "&amp;Auswahl!G10&amp;" | "&amp;Auswahl!H10&amp;" möglich.",""))</f>
        <v>² Energiekosten lt. CostOpt 2019, Änderung in Registerblatt 7 | Rahmenbedingungen möglich.</v>
      </c>
      <c r="D46" s="53"/>
      <c r="E46" s="53"/>
      <c r="F46" s="53"/>
      <c r="G46" s="53"/>
      <c r="H46" s="53"/>
      <c r="I46" s="53"/>
      <c r="J46" s="53"/>
      <c r="K46" s="53"/>
      <c r="L46" s="50"/>
      <c r="M46" s="76"/>
      <c r="N46" s="78"/>
      <c r="O46" s="30"/>
      <c r="P46" s="24"/>
      <c r="Q46" s="24"/>
      <c r="R46" s="71"/>
      <c r="S46" s="71"/>
      <c r="T46" s="71"/>
      <c r="U46" s="128"/>
      <c r="V46" s="128"/>
      <c r="W46" s="71"/>
      <c r="X46" s="71"/>
      <c r="Y46" s="71"/>
      <c r="Z46" s="71"/>
      <c r="AA46" s="71"/>
      <c r="AB46" s="71"/>
      <c r="AC46" s="22"/>
      <c r="AD46" s="22"/>
      <c r="AE46" s="22"/>
      <c r="AF46" s="22"/>
      <c r="AG46" s="22"/>
      <c r="AH46" s="22"/>
      <c r="AI46" s="22"/>
      <c r="AJ46" s="22"/>
      <c r="AK46" s="22"/>
      <c r="AL46" s="22"/>
      <c r="AM46" s="22"/>
      <c r="AN46" s="22"/>
      <c r="AO46" s="22"/>
      <c r="AP46" s="22"/>
      <c r="AQ46" s="22"/>
      <c r="AR46" s="22"/>
      <c r="AS46" s="22"/>
    </row>
    <row r="47" spans="1:45" ht="7.5" hidden="1" customHeight="1" x14ac:dyDescent="0.3">
      <c r="A47" s="190" t="s">
        <v>156</v>
      </c>
      <c r="C47" s="53"/>
      <c r="D47" s="53"/>
      <c r="E47" s="53"/>
      <c r="F47" s="53"/>
      <c r="G47" s="53"/>
      <c r="H47" s="53"/>
      <c r="I47" s="53"/>
      <c r="J47" s="53"/>
      <c r="K47" s="53"/>
      <c r="L47" s="50"/>
      <c r="M47" s="76"/>
      <c r="N47" s="78"/>
      <c r="O47" s="30"/>
      <c r="P47" s="24"/>
      <c r="Q47" s="24"/>
      <c r="R47" s="71"/>
      <c r="S47" s="71"/>
      <c r="T47" s="71"/>
      <c r="U47" s="128"/>
      <c r="V47" s="128"/>
      <c r="W47" s="71"/>
      <c r="X47" s="71"/>
      <c r="Y47" s="71"/>
      <c r="Z47" s="71"/>
      <c r="AA47" s="71"/>
      <c r="AB47" s="71"/>
      <c r="AC47" s="22"/>
      <c r="AD47" s="22"/>
      <c r="AE47" s="22"/>
      <c r="AF47" s="22"/>
      <c r="AG47" s="22"/>
      <c r="AH47" s="22"/>
      <c r="AI47" s="22"/>
      <c r="AJ47" s="22"/>
      <c r="AK47" s="22"/>
      <c r="AL47" s="22"/>
      <c r="AM47" s="22"/>
      <c r="AN47" s="22"/>
      <c r="AO47" s="22"/>
      <c r="AP47" s="22"/>
      <c r="AQ47" s="22"/>
      <c r="AR47" s="22"/>
      <c r="AS47" s="22"/>
    </row>
    <row r="48" spans="1:45" ht="37.5" hidden="1" customHeight="1" x14ac:dyDescent="0.3">
      <c r="A48" s="190" t="s">
        <v>156</v>
      </c>
      <c r="B48" s="75"/>
      <c r="C48" s="416" t="str">
        <f>IF(OR(INDEX(Status_Systeme,$A$2)=TRUE,EA_PV_Status=FALSE),"",$A$2&amp;".5 "&amp;UPPER(INDEX(Auswahl!$P$2:$P$6,5)))</f>
        <v/>
      </c>
      <c r="D48" s="416"/>
      <c r="E48" s="416"/>
      <c r="F48" s="416"/>
      <c r="G48" s="411" t="str">
        <f>IF(OR(INDEX(Status_Systeme,$A$2)=TRUE,EA_PV_Status=FALSE),"","Energiegewinn"&amp;CHAR(10)&amp;"[kWh/a]")</f>
        <v/>
      </c>
      <c r="H48" s="411"/>
      <c r="I48" s="411"/>
      <c r="J48" s="67" t="str">
        <f>IF(OR(INDEX(Status_Systeme,$A$2)=TRUE,EA_PV_Status=FALSE),"","Energiepreis*"&amp;CHAR(10)&amp;"[€/kWh]")</f>
        <v/>
      </c>
      <c r="K48" s="409" t="str">
        <f>IF(OR(INDEX(Status_Systeme,$A$2)=TRUE,EA_PV_Status=FALSE),"","Gesamtkosten"&amp;CHAR(2)&amp;CHAR(10)&amp;"nach T [€]"&amp;CHAR(2))</f>
        <v/>
      </c>
      <c r="L48" s="409"/>
      <c r="M48" s="76"/>
      <c r="N48" s="78"/>
      <c r="O48" s="30"/>
      <c r="P48" s="22"/>
      <c r="Q48" s="22"/>
      <c r="R48" s="71"/>
      <c r="S48" s="70" t="s">
        <v>180</v>
      </c>
      <c r="T48" s="70" t="s">
        <v>160</v>
      </c>
      <c r="U48" s="70" t="s">
        <v>161</v>
      </c>
      <c r="V48" s="70" t="s">
        <v>162</v>
      </c>
      <c r="W48" s="71"/>
      <c r="X48" s="71"/>
      <c r="Y48" s="71"/>
      <c r="Z48" s="71"/>
      <c r="AA48" s="71"/>
      <c r="AB48" s="71"/>
      <c r="AC48" s="22"/>
      <c r="AD48" s="22"/>
      <c r="AE48" s="22"/>
      <c r="AF48" s="22"/>
      <c r="AG48" s="22"/>
      <c r="AH48" s="22"/>
      <c r="AI48" s="22"/>
      <c r="AJ48" s="22"/>
      <c r="AK48" s="22"/>
      <c r="AL48" s="22"/>
      <c r="AM48" s="22"/>
      <c r="AN48" s="22"/>
      <c r="AO48" s="22"/>
      <c r="AP48" s="22"/>
      <c r="AQ48" s="22"/>
      <c r="AR48" s="22"/>
      <c r="AS48" s="22"/>
    </row>
    <row r="49" spans="1:45" hidden="1" x14ac:dyDescent="0.3">
      <c r="A49" s="190" t="s">
        <v>156</v>
      </c>
      <c r="B49" s="75"/>
      <c r="C49" s="81" t="str">
        <f>IF(OR(INDEX(Status_Systeme,$A$2)=TRUE,EA_PV_Status=FALSE),"","A | EIGENVERBRAUCH")</f>
        <v/>
      </c>
      <c r="D49" s="414" t="str">
        <f>IF(OR(INDEX(Status_Systeme,$A$2)=TRUE,EA_PV_Status=FALSE),"",INDEX(Tabelle_Energie,8,1))</f>
        <v/>
      </c>
      <c r="E49" s="414"/>
      <c r="F49" s="414"/>
      <c r="G49" s="418"/>
      <c r="H49" s="418"/>
      <c r="I49" s="418"/>
      <c r="J49" s="59"/>
      <c r="K49" s="419"/>
      <c r="L49" s="419"/>
      <c r="M49" s="76"/>
      <c r="N49" s="78"/>
      <c r="O49" s="30"/>
      <c r="P49" s="55"/>
      <c r="Q49" s="55"/>
      <c r="R49" s="71"/>
      <c r="S49" s="72" t="e">
        <f>VLOOKUP(D49,Tabelle_Energie,6,FALSE)=VLOOKUP(D49,Tabelle_Energie,7,FALSE)</f>
        <v>#N/A</v>
      </c>
      <c r="T49" s="105" t="e">
        <f>VLOOKUP(D49,Tabelle_Energie,5,FALSE)</f>
        <v>#N/A</v>
      </c>
      <c r="U49" s="103" t="e">
        <f>(1-((1+T49)/(1+Basis_Marktzins))^Basis_Betrachtungszeitraum)/(1-((1+Basis_Inflation)/(1+Basis_Marktzins))^Basis_Betrachtungszeitraum)*((Basis_Marktzins-Basis_Inflation)/(1+Basis_Inflation))/((Basis_Marktzins-T49)/(1+T49))</f>
        <v>#N/A</v>
      </c>
      <c r="V49" s="103" t="e">
        <f>Basis_Barwertfaktor*U49</f>
        <v>#N/A</v>
      </c>
      <c r="W49" s="71"/>
      <c r="X49" s="71"/>
      <c r="Y49" s="71"/>
      <c r="Z49" s="71"/>
      <c r="AA49" s="71"/>
      <c r="AB49" s="71"/>
      <c r="AC49" s="22"/>
      <c r="AD49" s="22"/>
      <c r="AE49" s="22"/>
      <c r="AF49" s="22"/>
      <c r="AG49" s="22"/>
      <c r="AH49" s="22"/>
      <c r="AI49" s="22"/>
      <c r="AJ49" s="22"/>
      <c r="AK49" s="22"/>
      <c r="AL49" s="22"/>
      <c r="AM49" s="22"/>
      <c r="AN49" s="22"/>
      <c r="AO49" s="22"/>
      <c r="AP49" s="22"/>
      <c r="AQ49" s="22"/>
      <c r="AR49" s="22"/>
      <c r="AS49" s="22"/>
    </row>
    <row r="50" spans="1:45" hidden="1" x14ac:dyDescent="0.3">
      <c r="A50" s="190" t="s">
        <v>156</v>
      </c>
      <c r="B50" s="75"/>
      <c r="C50" s="81" t="str">
        <f>IF(OR(INDEX(Status_Systeme,$A$2)=TRUE,EA_PV_Status=FALSE),"","B | ÜBERSCHUSS")</f>
        <v/>
      </c>
      <c r="D50" s="414" t="str">
        <f>IF(OR(INDEX(Status_Systeme,$A$2)=TRUE,EA_PV_Status=FALSE),"",INDEX(Tabelle_Energie,8,1))</f>
        <v/>
      </c>
      <c r="E50" s="414"/>
      <c r="F50" s="414"/>
      <c r="G50" s="418"/>
      <c r="H50" s="418"/>
      <c r="I50" s="418"/>
      <c r="J50" s="59"/>
      <c r="K50" s="419"/>
      <c r="L50" s="419"/>
      <c r="M50" s="76"/>
      <c r="N50" s="78"/>
      <c r="O50" s="30"/>
      <c r="P50" s="55"/>
      <c r="Q50" s="55"/>
      <c r="R50" s="71"/>
      <c r="S50" s="72" t="e">
        <f>VLOOKUP(D50,Tabelle_Energie,6,FALSE)=VLOOKUP(D50,Tabelle_Energie,7,FALSE)</f>
        <v>#N/A</v>
      </c>
      <c r="T50" s="105" t="e">
        <f>VLOOKUP(D50,Tabelle_Energie,5,FALSE)</f>
        <v>#N/A</v>
      </c>
      <c r="U50" s="103" t="e">
        <f>(1-((1+T50)/(1+Basis_Marktzins))^Basis_Betrachtungszeitraum)/(1-((1+Basis_Inflation)/(1+Basis_Marktzins))^Basis_Betrachtungszeitraum)*((Basis_Marktzins-Basis_Inflation)/(1+Basis_Inflation))/((Basis_Marktzins-T50)/(1+T50))</f>
        <v>#N/A</v>
      </c>
      <c r="V50" s="103" t="e">
        <f>Basis_Barwertfaktor*U50</f>
        <v>#N/A</v>
      </c>
      <c r="W50" s="71"/>
      <c r="X50" s="71"/>
      <c r="Y50" s="71"/>
      <c r="Z50" s="71"/>
      <c r="AA50" s="71"/>
      <c r="AB50" s="71"/>
      <c r="AC50" s="22"/>
      <c r="AD50" s="22"/>
      <c r="AE50" s="22"/>
      <c r="AF50" s="22"/>
      <c r="AG50" s="22"/>
      <c r="AH50" s="22"/>
      <c r="AI50" s="22"/>
      <c r="AJ50" s="22"/>
      <c r="AK50" s="22"/>
      <c r="AL50" s="22"/>
      <c r="AM50" s="22"/>
      <c r="AN50" s="22"/>
      <c r="AO50" s="22"/>
      <c r="AP50" s="22"/>
      <c r="AQ50" s="22"/>
      <c r="AR50" s="22"/>
      <c r="AS50" s="22"/>
    </row>
    <row r="51" spans="1:45" x14ac:dyDescent="0.3">
      <c r="A51" s="22"/>
      <c r="B51" s="71"/>
      <c r="C51" s="24"/>
      <c r="D51" s="24"/>
      <c r="E51" s="31"/>
      <c r="F51" s="24"/>
      <c r="G51" s="24"/>
      <c r="H51" s="24"/>
      <c r="I51" s="31"/>
      <c r="J51" s="24"/>
      <c r="K51" s="24"/>
      <c r="L51" s="24"/>
      <c r="M51" s="78"/>
      <c r="N51" s="78"/>
      <c r="O51" s="24"/>
      <c r="P51" s="24"/>
      <c r="Q51" s="24"/>
      <c r="R51" s="71"/>
      <c r="S51" s="71"/>
      <c r="T51" s="71"/>
      <c r="U51" s="128"/>
      <c r="V51" s="128"/>
      <c r="W51" s="71"/>
      <c r="X51" s="71"/>
      <c r="Y51" s="71"/>
      <c r="Z51" s="71"/>
      <c r="AA51" s="71"/>
      <c r="AB51" s="71"/>
      <c r="AC51" s="22"/>
      <c r="AD51" s="22"/>
      <c r="AE51" s="22"/>
      <c r="AF51" s="22"/>
      <c r="AG51" s="22"/>
      <c r="AH51" s="22"/>
      <c r="AI51" s="22"/>
      <c r="AJ51" s="22"/>
      <c r="AK51" s="22"/>
      <c r="AL51" s="22"/>
      <c r="AM51" s="22"/>
      <c r="AN51" s="22"/>
      <c r="AO51" s="22"/>
      <c r="AP51" s="22"/>
      <c r="AQ51" s="22"/>
      <c r="AR51" s="22"/>
      <c r="AS51" s="22"/>
    </row>
    <row r="52" spans="1:45" x14ac:dyDescent="0.3">
      <c r="A52" s="22"/>
      <c r="B52" s="71"/>
      <c r="C52" s="24"/>
      <c r="D52" s="24"/>
      <c r="E52" s="31"/>
      <c r="F52" s="24"/>
      <c r="G52" s="24"/>
      <c r="H52" s="24"/>
      <c r="I52" s="31"/>
      <c r="J52" s="24"/>
      <c r="K52" s="24"/>
      <c r="L52" s="24"/>
      <c r="M52" s="78"/>
      <c r="N52" s="78"/>
      <c r="O52" s="24"/>
      <c r="P52" s="24"/>
      <c r="Q52" s="24"/>
      <c r="R52" s="71"/>
      <c r="S52" s="71"/>
      <c r="T52" s="71"/>
      <c r="U52" s="71"/>
      <c r="V52" s="71"/>
      <c r="W52" s="71"/>
      <c r="X52" s="71"/>
      <c r="Y52" s="71"/>
      <c r="Z52" s="71"/>
      <c r="AA52" s="71"/>
      <c r="AB52" s="71"/>
      <c r="AC52" s="22"/>
      <c r="AD52" s="22"/>
      <c r="AE52" s="22"/>
      <c r="AF52" s="22"/>
      <c r="AG52" s="22"/>
      <c r="AH52" s="22"/>
      <c r="AI52" s="22"/>
      <c r="AJ52" s="22"/>
      <c r="AK52" s="22"/>
      <c r="AL52" s="22"/>
      <c r="AM52" s="22"/>
      <c r="AN52" s="22"/>
      <c r="AO52" s="22"/>
      <c r="AP52" s="22"/>
      <c r="AQ52" s="22"/>
      <c r="AR52" s="22"/>
      <c r="AS52" s="22"/>
    </row>
    <row r="53" spans="1:45" x14ac:dyDescent="0.3">
      <c r="A53" s="22"/>
      <c r="B53" s="71"/>
      <c r="C53" s="56"/>
      <c r="D53" s="56"/>
      <c r="E53" s="29"/>
      <c r="F53" s="29"/>
      <c r="G53" s="29"/>
      <c r="H53" s="29"/>
      <c r="I53" s="29"/>
      <c r="J53" s="29"/>
      <c r="K53" s="29"/>
      <c r="L53" s="57"/>
      <c r="M53" s="78"/>
      <c r="N53" s="78"/>
      <c r="O53" s="24"/>
      <c r="P53" s="24"/>
      <c r="Q53" s="24"/>
      <c r="R53" s="71"/>
      <c r="S53" s="71"/>
      <c r="T53" s="71"/>
      <c r="U53" s="71"/>
      <c r="V53" s="71"/>
      <c r="W53" s="71"/>
      <c r="X53" s="71"/>
      <c r="Y53" s="71"/>
      <c r="Z53" s="71"/>
      <c r="AA53" s="71"/>
      <c r="AB53" s="71"/>
      <c r="AC53" s="22"/>
      <c r="AD53" s="22"/>
      <c r="AE53" s="22"/>
      <c r="AF53" s="22"/>
      <c r="AG53" s="22"/>
      <c r="AH53" s="22"/>
      <c r="AI53" s="22"/>
      <c r="AJ53" s="22"/>
      <c r="AK53" s="22"/>
      <c r="AL53" s="22"/>
      <c r="AM53" s="22"/>
      <c r="AN53" s="22"/>
      <c r="AO53" s="22"/>
      <c r="AP53" s="22"/>
      <c r="AQ53" s="22"/>
      <c r="AR53" s="22"/>
      <c r="AS53" s="22"/>
    </row>
    <row r="54" spans="1:45" x14ac:dyDescent="0.3">
      <c r="A54" s="22"/>
      <c r="B54" s="71"/>
      <c r="C54" s="24"/>
      <c r="D54" s="24"/>
      <c r="E54" s="31"/>
      <c r="F54" s="24"/>
      <c r="G54" s="24"/>
      <c r="H54" s="24"/>
      <c r="I54" s="31"/>
      <c r="J54" s="24"/>
      <c r="K54" s="24"/>
      <c r="L54" s="24"/>
      <c r="M54" s="78"/>
      <c r="N54" s="78"/>
      <c r="O54" s="24"/>
      <c r="P54" s="24"/>
      <c r="Q54" s="24"/>
      <c r="R54" s="71"/>
      <c r="S54" s="71"/>
      <c r="T54" s="71"/>
      <c r="U54" s="71"/>
      <c r="V54" s="71"/>
      <c r="W54" s="71"/>
      <c r="X54" s="71"/>
      <c r="Y54" s="71"/>
      <c r="Z54" s="71"/>
      <c r="AA54" s="71"/>
      <c r="AB54" s="71"/>
      <c r="AC54" s="22"/>
      <c r="AD54" s="22"/>
      <c r="AE54" s="22"/>
      <c r="AF54" s="22"/>
      <c r="AG54" s="22"/>
      <c r="AH54" s="22"/>
      <c r="AI54" s="22"/>
      <c r="AJ54" s="22"/>
      <c r="AK54" s="22"/>
      <c r="AL54" s="22"/>
      <c r="AM54" s="22"/>
      <c r="AN54" s="22"/>
      <c r="AO54" s="22"/>
      <c r="AP54" s="22"/>
      <c r="AQ54" s="22"/>
      <c r="AR54" s="22"/>
      <c r="AS54" s="22"/>
    </row>
    <row r="55" spans="1:45" x14ac:dyDescent="0.3">
      <c r="A55" s="22"/>
      <c r="B55" s="71"/>
      <c r="C55" s="24"/>
      <c r="D55" s="24"/>
      <c r="E55" s="31"/>
      <c r="F55" s="24"/>
      <c r="G55" s="24"/>
      <c r="H55" s="24"/>
      <c r="I55" s="31"/>
      <c r="J55" s="24"/>
      <c r="K55" s="24"/>
      <c r="L55" s="24"/>
      <c r="M55" s="78"/>
      <c r="N55" s="78"/>
      <c r="O55" s="24"/>
      <c r="P55" s="24"/>
      <c r="Q55" s="24"/>
      <c r="R55" s="71"/>
      <c r="S55" s="71"/>
      <c r="T55" s="71"/>
      <c r="U55" s="71"/>
      <c r="V55" s="71"/>
      <c r="W55" s="71"/>
      <c r="X55" s="71"/>
      <c r="Y55" s="71"/>
      <c r="Z55" s="71"/>
      <c r="AA55" s="71"/>
      <c r="AB55" s="71"/>
      <c r="AC55" s="22"/>
      <c r="AD55" s="22"/>
      <c r="AE55" s="22"/>
      <c r="AF55" s="22"/>
      <c r="AG55" s="22"/>
      <c r="AH55" s="22"/>
      <c r="AI55" s="22"/>
      <c r="AJ55" s="22"/>
      <c r="AK55" s="22"/>
      <c r="AL55" s="22"/>
      <c r="AM55" s="22"/>
      <c r="AN55" s="22"/>
      <c r="AO55" s="22"/>
      <c r="AP55" s="22"/>
      <c r="AQ55" s="22"/>
      <c r="AR55" s="22"/>
      <c r="AS55" s="22"/>
    </row>
    <row r="56" spans="1:45" x14ac:dyDescent="0.3">
      <c r="A56" s="22"/>
      <c r="B56" s="71"/>
      <c r="C56" s="24"/>
      <c r="D56" s="24"/>
      <c r="E56" s="31"/>
      <c r="F56" s="24"/>
      <c r="G56" s="24"/>
      <c r="H56" s="24"/>
      <c r="I56" s="31"/>
      <c r="J56" s="24"/>
      <c r="K56" s="24"/>
      <c r="L56" s="24"/>
      <c r="M56" s="78"/>
      <c r="N56" s="78"/>
      <c r="O56" s="24"/>
      <c r="P56" s="24"/>
      <c r="Q56" s="24"/>
      <c r="R56" s="71"/>
      <c r="S56" s="71"/>
      <c r="T56" s="71"/>
      <c r="U56" s="71"/>
      <c r="V56" s="71"/>
      <c r="W56" s="71"/>
      <c r="X56" s="71"/>
      <c r="Y56" s="71"/>
      <c r="Z56" s="71"/>
      <c r="AA56" s="71"/>
      <c r="AB56" s="71"/>
      <c r="AC56" s="22"/>
      <c r="AD56" s="22"/>
      <c r="AE56" s="22"/>
      <c r="AF56" s="22"/>
      <c r="AG56" s="22"/>
      <c r="AH56" s="22"/>
      <c r="AI56" s="22"/>
      <c r="AJ56" s="22"/>
      <c r="AK56" s="22"/>
      <c r="AL56" s="22"/>
      <c r="AM56" s="22"/>
      <c r="AN56" s="22"/>
      <c r="AO56" s="22"/>
      <c r="AP56" s="22"/>
      <c r="AQ56" s="22"/>
      <c r="AR56" s="22"/>
      <c r="AS56" s="22"/>
    </row>
    <row r="57" spans="1:45" x14ac:dyDescent="0.3">
      <c r="A57" s="22"/>
      <c r="B57" s="71"/>
      <c r="C57" s="24"/>
      <c r="D57" s="24"/>
      <c r="E57" s="31"/>
      <c r="F57" s="24"/>
      <c r="G57" s="24"/>
      <c r="H57" s="24"/>
      <c r="I57" s="31"/>
      <c r="J57" s="24"/>
      <c r="K57" s="24"/>
      <c r="L57" s="24"/>
      <c r="M57" s="78"/>
      <c r="N57" s="78"/>
      <c r="O57" s="24"/>
      <c r="P57" s="24"/>
      <c r="Q57" s="24"/>
      <c r="R57" s="71"/>
      <c r="S57" s="71"/>
      <c r="T57" s="71"/>
      <c r="U57" s="71"/>
      <c r="V57" s="71"/>
      <c r="W57" s="71"/>
      <c r="X57" s="71"/>
      <c r="Y57" s="71"/>
      <c r="Z57" s="71"/>
      <c r="AA57" s="71"/>
      <c r="AB57" s="71"/>
      <c r="AC57" s="22"/>
      <c r="AD57" s="22"/>
      <c r="AE57" s="22"/>
      <c r="AF57" s="22"/>
      <c r="AG57" s="22"/>
      <c r="AH57" s="22"/>
      <c r="AI57" s="22"/>
      <c r="AJ57" s="22"/>
      <c r="AK57" s="22"/>
      <c r="AL57" s="22"/>
      <c r="AM57" s="22"/>
      <c r="AN57" s="22"/>
      <c r="AO57" s="22"/>
      <c r="AP57" s="22"/>
      <c r="AQ57" s="22"/>
      <c r="AR57" s="22"/>
      <c r="AS57" s="22"/>
    </row>
    <row r="58" spans="1:45" x14ac:dyDescent="0.3">
      <c r="A58" s="22"/>
      <c r="B58" s="71"/>
      <c r="C58" s="24"/>
      <c r="D58" s="31"/>
      <c r="E58" s="24"/>
      <c r="F58" s="24"/>
      <c r="G58" s="24"/>
      <c r="H58" s="31"/>
      <c r="I58" s="24"/>
      <c r="J58" s="24"/>
      <c r="K58" s="24"/>
      <c r="L58" s="31"/>
      <c r="M58" s="78"/>
      <c r="N58" s="78"/>
      <c r="O58" s="24"/>
      <c r="P58" s="24"/>
      <c r="Q58" s="24"/>
      <c r="R58" s="71"/>
      <c r="S58" s="71"/>
      <c r="T58" s="71"/>
      <c r="U58" s="71"/>
      <c r="V58" s="71"/>
      <c r="W58" s="71"/>
      <c r="X58" s="71"/>
      <c r="Y58" s="71"/>
      <c r="Z58" s="71"/>
      <c r="AA58" s="71"/>
      <c r="AB58" s="71"/>
      <c r="AC58" s="22"/>
      <c r="AD58" s="22"/>
      <c r="AE58" s="22"/>
      <c r="AF58" s="22"/>
      <c r="AG58" s="22"/>
      <c r="AH58" s="22"/>
      <c r="AI58" s="22"/>
      <c r="AJ58" s="22"/>
      <c r="AK58" s="22"/>
      <c r="AL58" s="22"/>
      <c r="AM58" s="22"/>
      <c r="AN58" s="22"/>
      <c r="AO58" s="22"/>
      <c r="AP58" s="22"/>
      <c r="AQ58" s="22"/>
      <c r="AR58" s="22"/>
      <c r="AS58" s="22"/>
    </row>
    <row r="59" spans="1:45" x14ac:dyDescent="0.3">
      <c r="A59" s="22"/>
      <c r="B59" s="71"/>
      <c r="C59" s="24"/>
      <c r="D59" s="31"/>
      <c r="E59" s="24"/>
      <c r="F59" s="24"/>
      <c r="G59" s="24"/>
      <c r="H59" s="31"/>
      <c r="I59" s="24"/>
      <c r="J59" s="24"/>
      <c r="K59" s="24"/>
      <c r="L59" s="31"/>
      <c r="M59" s="78"/>
      <c r="N59" s="78"/>
      <c r="O59" s="24"/>
      <c r="P59" s="24"/>
      <c r="Q59" s="24"/>
      <c r="R59" s="71"/>
      <c r="S59" s="71"/>
      <c r="T59" s="71"/>
      <c r="U59" s="71"/>
      <c r="V59" s="71"/>
      <c r="W59" s="71"/>
      <c r="X59" s="71"/>
      <c r="Y59" s="71"/>
      <c r="Z59" s="71"/>
      <c r="AA59" s="71"/>
      <c r="AB59" s="71"/>
      <c r="AC59" s="22"/>
      <c r="AD59" s="22"/>
      <c r="AE59" s="22"/>
      <c r="AF59" s="22"/>
      <c r="AG59" s="22"/>
      <c r="AH59" s="22"/>
      <c r="AI59" s="22"/>
      <c r="AJ59" s="22"/>
      <c r="AK59" s="22"/>
      <c r="AL59" s="22"/>
      <c r="AM59" s="22"/>
      <c r="AN59" s="22"/>
      <c r="AO59" s="22"/>
      <c r="AP59" s="22"/>
      <c r="AQ59" s="22"/>
      <c r="AR59" s="22"/>
      <c r="AS59" s="22"/>
    </row>
    <row r="60" spans="1:45" x14ac:dyDescent="0.3">
      <c r="A60" s="22"/>
      <c r="B60" s="71"/>
      <c r="C60" s="24"/>
      <c r="D60" s="31"/>
      <c r="E60" s="24"/>
      <c r="F60" s="24"/>
      <c r="G60" s="24"/>
      <c r="H60" s="31"/>
      <c r="I60" s="24"/>
      <c r="J60" s="24"/>
      <c r="K60" s="24"/>
      <c r="L60" s="31"/>
      <c r="M60" s="78"/>
      <c r="N60" s="78"/>
      <c r="O60" s="24"/>
      <c r="P60" s="24"/>
      <c r="Q60" s="24"/>
      <c r="R60" s="71"/>
      <c r="S60" s="71"/>
      <c r="T60" s="71"/>
      <c r="U60" s="71"/>
      <c r="V60" s="71"/>
      <c r="W60" s="71"/>
      <c r="X60" s="71"/>
      <c r="Y60" s="71"/>
      <c r="Z60" s="71"/>
      <c r="AA60" s="71"/>
      <c r="AB60" s="71"/>
      <c r="AC60" s="22"/>
      <c r="AD60" s="22"/>
      <c r="AE60" s="22"/>
      <c r="AF60" s="22"/>
      <c r="AG60" s="22"/>
      <c r="AH60" s="22"/>
      <c r="AI60" s="22"/>
      <c r="AJ60" s="22"/>
      <c r="AK60" s="22"/>
      <c r="AL60" s="22"/>
      <c r="AM60" s="22"/>
      <c r="AN60" s="22"/>
      <c r="AO60" s="22"/>
      <c r="AP60" s="22"/>
      <c r="AQ60" s="22"/>
      <c r="AR60" s="22"/>
      <c r="AS60" s="22"/>
    </row>
    <row r="61" spans="1:45" x14ac:dyDescent="0.3">
      <c r="A61" s="22"/>
      <c r="B61" s="71"/>
      <c r="C61" s="24"/>
      <c r="D61" s="31"/>
      <c r="E61" s="24"/>
      <c r="F61" s="24"/>
      <c r="G61" s="24"/>
      <c r="H61" s="31"/>
      <c r="I61" s="24"/>
      <c r="J61" s="24"/>
      <c r="K61" s="24"/>
      <c r="L61" s="31"/>
      <c r="M61" s="78"/>
      <c r="N61" s="78"/>
      <c r="O61" s="24"/>
      <c r="P61" s="24"/>
      <c r="Q61" s="24"/>
      <c r="R61" s="71"/>
      <c r="S61" s="71"/>
      <c r="T61" s="71"/>
      <c r="U61" s="71"/>
      <c r="V61" s="71"/>
      <c r="W61" s="71"/>
      <c r="X61" s="71"/>
      <c r="Y61" s="71"/>
      <c r="Z61" s="71"/>
      <c r="AA61" s="71"/>
      <c r="AB61" s="71"/>
      <c r="AC61" s="22"/>
      <c r="AD61" s="22"/>
      <c r="AE61" s="22"/>
      <c r="AF61" s="22"/>
      <c r="AG61" s="22"/>
      <c r="AH61" s="22"/>
      <c r="AI61" s="22"/>
      <c r="AJ61" s="22"/>
      <c r="AK61" s="22"/>
      <c r="AL61" s="22"/>
      <c r="AM61" s="22"/>
      <c r="AN61" s="22"/>
      <c r="AO61" s="22"/>
      <c r="AP61" s="22"/>
      <c r="AQ61" s="22"/>
      <c r="AR61" s="22"/>
      <c r="AS61" s="22"/>
    </row>
    <row r="62" spans="1:45" x14ac:dyDescent="0.3">
      <c r="A62" s="22"/>
      <c r="B62" s="71"/>
      <c r="C62" s="24"/>
      <c r="D62" s="31"/>
      <c r="E62" s="24"/>
      <c r="F62" s="24"/>
      <c r="G62" s="24"/>
      <c r="H62" s="31"/>
      <c r="I62" s="24"/>
      <c r="J62" s="24"/>
      <c r="K62" s="24"/>
      <c r="L62" s="31"/>
      <c r="M62" s="78"/>
      <c r="N62" s="78"/>
      <c r="O62" s="24"/>
      <c r="P62" s="24"/>
      <c r="Q62" s="24"/>
      <c r="R62" s="71"/>
      <c r="S62" s="71"/>
      <c r="T62" s="71"/>
      <c r="U62" s="71"/>
      <c r="V62" s="71"/>
      <c r="W62" s="71"/>
      <c r="X62" s="71"/>
      <c r="Y62" s="71"/>
      <c r="Z62" s="71"/>
      <c r="AA62" s="71"/>
      <c r="AB62" s="71"/>
      <c r="AC62" s="22"/>
      <c r="AD62" s="22"/>
      <c r="AE62" s="22"/>
      <c r="AF62" s="22"/>
      <c r="AG62" s="22"/>
      <c r="AH62" s="22"/>
      <c r="AI62" s="22"/>
      <c r="AJ62" s="22"/>
      <c r="AK62" s="22"/>
      <c r="AL62" s="22"/>
      <c r="AM62" s="22"/>
      <c r="AN62" s="22"/>
      <c r="AO62" s="22"/>
      <c r="AP62" s="22"/>
      <c r="AQ62" s="22"/>
      <c r="AR62" s="22"/>
      <c r="AS62" s="22"/>
    </row>
    <row r="63" spans="1:45" x14ac:dyDescent="0.3">
      <c r="A63" s="22"/>
      <c r="B63" s="71"/>
      <c r="C63" s="24"/>
      <c r="D63" s="31"/>
      <c r="E63" s="24"/>
      <c r="F63" s="24"/>
      <c r="G63" s="24"/>
      <c r="H63" s="31"/>
      <c r="I63" s="24"/>
      <c r="J63" s="24"/>
      <c r="K63" s="24"/>
      <c r="L63" s="31"/>
      <c r="M63" s="78"/>
      <c r="N63" s="78"/>
      <c r="O63" s="24"/>
      <c r="P63" s="24"/>
      <c r="Q63" s="24"/>
      <c r="R63" s="71"/>
      <c r="S63" s="71"/>
      <c r="T63" s="71"/>
      <c r="U63" s="71"/>
      <c r="V63" s="71"/>
      <c r="W63" s="71"/>
      <c r="X63" s="71"/>
      <c r="Y63" s="71"/>
      <c r="Z63" s="71"/>
      <c r="AA63" s="71"/>
      <c r="AB63" s="71"/>
      <c r="AC63" s="22"/>
      <c r="AD63" s="22"/>
      <c r="AE63" s="22"/>
      <c r="AF63" s="22"/>
      <c r="AG63" s="22"/>
      <c r="AH63" s="22"/>
      <c r="AI63" s="22"/>
      <c r="AJ63" s="22"/>
      <c r="AK63" s="22"/>
      <c r="AL63" s="22"/>
      <c r="AM63" s="22"/>
      <c r="AN63" s="22"/>
      <c r="AO63" s="22"/>
      <c r="AP63" s="22"/>
      <c r="AQ63" s="22"/>
      <c r="AR63" s="22"/>
      <c r="AS63" s="22"/>
    </row>
    <row r="64" spans="1:45" x14ac:dyDescent="0.3">
      <c r="A64" s="22"/>
      <c r="B64" s="71"/>
      <c r="C64" s="24"/>
      <c r="D64" s="31"/>
      <c r="E64" s="24"/>
      <c r="F64" s="24"/>
      <c r="G64" s="24"/>
      <c r="H64" s="31"/>
      <c r="I64" s="24"/>
      <c r="J64" s="24"/>
      <c r="K64" s="24"/>
      <c r="L64" s="31"/>
      <c r="M64" s="78"/>
      <c r="N64" s="78"/>
      <c r="O64" s="24"/>
      <c r="P64" s="24"/>
      <c r="Q64" s="24"/>
      <c r="R64" s="71"/>
      <c r="S64" s="71"/>
      <c r="T64" s="71"/>
      <c r="U64" s="71"/>
      <c r="V64" s="71"/>
      <c r="W64" s="71"/>
      <c r="X64" s="71"/>
      <c r="Y64" s="71"/>
      <c r="Z64" s="71"/>
      <c r="AA64" s="71"/>
      <c r="AB64" s="71"/>
      <c r="AC64" s="22"/>
      <c r="AD64" s="22"/>
      <c r="AE64" s="22"/>
      <c r="AF64" s="22"/>
      <c r="AG64" s="22"/>
      <c r="AH64" s="22"/>
      <c r="AI64" s="22"/>
      <c r="AJ64" s="22"/>
      <c r="AK64" s="22"/>
      <c r="AL64" s="22"/>
      <c r="AM64" s="22"/>
      <c r="AN64" s="22"/>
      <c r="AO64" s="22"/>
      <c r="AP64" s="22"/>
      <c r="AQ64" s="22"/>
      <c r="AR64" s="22"/>
      <c r="AS64" s="22"/>
    </row>
    <row r="65" spans="1:45" x14ac:dyDescent="0.3">
      <c r="A65" s="22"/>
      <c r="B65" s="71"/>
      <c r="C65" s="24"/>
      <c r="D65" s="31"/>
      <c r="E65" s="24"/>
      <c r="F65" s="24"/>
      <c r="G65" s="24"/>
      <c r="H65" s="31"/>
      <c r="I65" s="24"/>
      <c r="J65" s="24"/>
      <c r="K65" s="24"/>
      <c r="L65" s="31"/>
      <c r="M65" s="78"/>
      <c r="N65" s="78"/>
      <c r="O65" s="24"/>
      <c r="P65" s="24"/>
      <c r="Q65" s="24"/>
      <c r="R65" s="71"/>
      <c r="S65" s="71"/>
      <c r="T65" s="71"/>
      <c r="U65" s="71"/>
      <c r="V65" s="71"/>
      <c r="W65" s="71"/>
      <c r="X65" s="71"/>
      <c r="Y65" s="71"/>
      <c r="Z65" s="71"/>
      <c r="AA65" s="71"/>
      <c r="AB65" s="71"/>
      <c r="AC65" s="22"/>
      <c r="AD65" s="22"/>
      <c r="AE65" s="22"/>
      <c r="AF65" s="22"/>
      <c r="AG65" s="22"/>
      <c r="AH65" s="22"/>
      <c r="AI65" s="22"/>
      <c r="AJ65" s="22"/>
      <c r="AK65" s="22"/>
      <c r="AL65" s="22"/>
      <c r="AM65" s="22"/>
      <c r="AN65" s="22"/>
      <c r="AO65" s="22"/>
      <c r="AP65" s="22"/>
      <c r="AQ65" s="22"/>
      <c r="AR65" s="22"/>
      <c r="AS65" s="22"/>
    </row>
    <row r="66" spans="1:45" x14ac:dyDescent="0.3">
      <c r="A66" s="22"/>
      <c r="B66" s="71"/>
      <c r="C66" s="24"/>
      <c r="D66" s="31"/>
      <c r="E66" s="24"/>
      <c r="F66" s="24"/>
      <c r="G66" s="24"/>
      <c r="H66" s="31"/>
      <c r="I66" s="24"/>
      <c r="J66" s="24"/>
      <c r="K66" s="24"/>
      <c r="L66" s="31"/>
      <c r="M66" s="78"/>
      <c r="N66" s="78"/>
      <c r="O66" s="24"/>
      <c r="P66" s="24"/>
      <c r="Q66" s="24"/>
      <c r="R66" s="71"/>
      <c r="S66" s="71"/>
      <c r="T66" s="71"/>
      <c r="U66" s="71"/>
      <c r="V66" s="71"/>
      <c r="W66" s="71"/>
      <c r="X66" s="71"/>
      <c r="Y66" s="71"/>
      <c r="Z66" s="71"/>
      <c r="AA66" s="71"/>
      <c r="AB66" s="71"/>
      <c r="AC66" s="22"/>
      <c r="AD66" s="22"/>
      <c r="AE66" s="22"/>
      <c r="AF66" s="22"/>
      <c r="AG66" s="22"/>
      <c r="AH66" s="22"/>
      <c r="AI66" s="22"/>
      <c r="AJ66" s="22"/>
      <c r="AK66" s="22"/>
      <c r="AL66" s="22"/>
      <c r="AM66" s="22"/>
      <c r="AN66" s="22"/>
      <c r="AO66" s="22"/>
      <c r="AP66" s="22"/>
      <c r="AQ66" s="22"/>
      <c r="AR66" s="22"/>
      <c r="AS66" s="22"/>
    </row>
    <row r="67" spans="1:45" x14ac:dyDescent="0.3">
      <c r="A67" s="22"/>
      <c r="B67" s="71"/>
      <c r="C67" s="24"/>
      <c r="D67" s="31"/>
      <c r="E67" s="24"/>
      <c r="F67" s="24"/>
      <c r="G67" s="24"/>
      <c r="H67" s="31"/>
      <c r="I67" s="24"/>
      <c r="J67" s="24"/>
      <c r="K67" s="24"/>
      <c r="L67" s="31"/>
      <c r="M67" s="78"/>
      <c r="N67" s="78"/>
      <c r="O67" s="24"/>
      <c r="P67" s="24"/>
      <c r="Q67" s="24"/>
      <c r="R67" s="71"/>
      <c r="S67" s="71"/>
      <c r="T67" s="71"/>
      <c r="U67" s="71"/>
      <c r="V67" s="71"/>
      <c r="W67" s="71"/>
      <c r="X67" s="71"/>
      <c r="Y67" s="71"/>
      <c r="Z67" s="71"/>
      <c r="AA67" s="71"/>
      <c r="AB67" s="71"/>
      <c r="AC67" s="22"/>
      <c r="AD67" s="22"/>
      <c r="AE67" s="22"/>
      <c r="AF67" s="22"/>
      <c r="AG67" s="22"/>
      <c r="AH67" s="22"/>
      <c r="AI67" s="22"/>
      <c r="AJ67" s="22"/>
      <c r="AK67" s="22"/>
      <c r="AL67" s="22"/>
      <c r="AM67" s="22"/>
      <c r="AN67" s="22"/>
      <c r="AO67" s="22"/>
      <c r="AP67" s="22"/>
      <c r="AQ67" s="22"/>
      <c r="AR67" s="22"/>
      <c r="AS67" s="22"/>
    </row>
    <row r="68" spans="1:45" x14ac:dyDescent="0.3">
      <c r="A68" s="22"/>
      <c r="B68" s="71"/>
      <c r="C68" s="24"/>
      <c r="D68" s="31"/>
      <c r="E68" s="24"/>
      <c r="F68" s="24"/>
      <c r="G68" s="24"/>
      <c r="H68" s="31"/>
      <c r="I68" s="24"/>
      <c r="J68" s="24"/>
      <c r="K68" s="24"/>
      <c r="L68" s="31"/>
      <c r="M68" s="78"/>
      <c r="N68" s="78"/>
      <c r="O68" s="24"/>
      <c r="P68" s="24"/>
      <c r="Q68" s="24"/>
      <c r="R68" s="71"/>
      <c r="S68" s="71"/>
      <c r="T68" s="71"/>
      <c r="U68" s="71"/>
      <c r="V68" s="71"/>
      <c r="W68" s="71"/>
      <c r="X68" s="71"/>
      <c r="Y68" s="71"/>
      <c r="Z68" s="71"/>
      <c r="AA68" s="71"/>
      <c r="AB68" s="71"/>
      <c r="AC68" s="22"/>
      <c r="AD68" s="22"/>
      <c r="AE68" s="22"/>
      <c r="AF68" s="22"/>
      <c r="AG68" s="22"/>
      <c r="AH68" s="22"/>
      <c r="AI68" s="22"/>
      <c r="AJ68" s="22"/>
      <c r="AK68" s="22"/>
      <c r="AL68" s="22"/>
      <c r="AM68" s="22"/>
      <c r="AN68" s="22"/>
      <c r="AO68" s="22"/>
      <c r="AP68" s="22"/>
      <c r="AQ68" s="22"/>
      <c r="AR68" s="22"/>
      <c r="AS68" s="22"/>
    </row>
    <row r="69" spans="1:45" x14ac:dyDescent="0.3">
      <c r="A69" s="22"/>
      <c r="B69" s="71"/>
      <c r="C69" s="22"/>
      <c r="D69" s="23"/>
      <c r="E69" s="22"/>
      <c r="F69" s="22"/>
      <c r="G69" s="22"/>
      <c r="H69" s="23"/>
      <c r="I69" s="22"/>
      <c r="J69" s="22"/>
      <c r="K69" s="22"/>
      <c r="L69" s="23"/>
      <c r="M69" s="71"/>
      <c r="N69" s="71"/>
      <c r="O69" s="22"/>
      <c r="P69" s="22"/>
      <c r="Q69" s="22"/>
      <c r="R69" s="71"/>
      <c r="S69" s="71"/>
      <c r="T69" s="71"/>
      <c r="U69" s="71"/>
      <c r="V69" s="71"/>
      <c r="W69" s="71"/>
      <c r="X69" s="71"/>
      <c r="Y69" s="71"/>
      <c r="Z69" s="71"/>
      <c r="AA69" s="71"/>
      <c r="AB69" s="71"/>
      <c r="AC69" s="22"/>
      <c r="AD69" s="22"/>
      <c r="AE69" s="22"/>
      <c r="AF69" s="22"/>
      <c r="AG69" s="22"/>
      <c r="AH69" s="22"/>
      <c r="AI69" s="22"/>
      <c r="AJ69" s="22"/>
      <c r="AK69" s="22"/>
      <c r="AL69" s="22"/>
      <c r="AM69" s="22"/>
      <c r="AN69" s="22"/>
      <c r="AO69" s="22"/>
      <c r="AP69" s="22"/>
      <c r="AQ69" s="22"/>
      <c r="AR69" s="22"/>
      <c r="AS69" s="22"/>
    </row>
    <row r="70" spans="1:45" x14ac:dyDescent="0.3">
      <c r="A70" s="22"/>
      <c r="B70" s="71"/>
      <c r="C70" s="22"/>
      <c r="D70" s="23"/>
      <c r="E70" s="22"/>
      <c r="F70" s="22"/>
      <c r="G70" s="22"/>
      <c r="H70" s="23"/>
      <c r="I70" s="22"/>
      <c r="J70" s="22"/>
      <c r="K70" s="22"/>
      <c r="L70" s="23"/>
      <c r="M70" s="71"/>
      <c r="N70" s="71"/>
      <c r="O70" s="22"/>
      <c r="P70" s="22"/>
      <c r="Q70" s="22"/>
      <c r="R70" s="71"/>
      <c r="S70" s="71"/>
      <c r="T70" s="71"/>
      <c r="U70" s="71"/>
      <c r="V70" s="71"/>
      <c r="W70" s="71"/>
      <c r="X70" s="71"/>
      <c r="Y70" s="71"/>
      <c r="Z70" s="71"/>
      <c r="AA70" s="71"/>
      <c r="AB70" s="71"/>
      <c r="AC70" s="22"/>
      <c r="AD70" s="22"/>
      <c r="AE70" s="22"/>
      <c r="AF70" s="22"/>
      <c r="AG70" s="22"/>
      <c r="AH70" s="22"/>
      <c r="AI70" s="22"/>
      <c r="AJ70" s="22"/>
      <c r="AK70" s="22"/>
      <c r="AL70" s="22"/>
      <c r="AM70" s="22"/>
      <c r="AN70" s="22"/>
      <c r="AO70" s="22"/>
      <c r="AP70" s="22"/>
      <c r="AQ70" s="22"/>
      <c r="AR70" s="22"/>
      <c r="AS70" s="22"/>
    </row>
    <row r="71" spans="1:45" x14ac:dyDescent="0.3">
      <c r="A71" s="22"/>
      <c r="B71" s="71"/>
      <c r="C71" s="22"/>
      <c r="D71" s="23"/>
      <c r="E71" s="22"/>
      <c r="F71" s="22"/>
      <c r="G71" s="22"/>
      <c r="H71" s="23"/>
      <c r="I71" s="22"/>
      <c r="J71" s="22"/>
      <c r="K71" s="22"/>
      <c r="L71" s="23"/>
      <c r="M71" s="71"/>
      <c r="N71" s="71"/>
      <c r="O71" s="22"/>
      <c r="P71" s="22"/>
      <c r="Q71" s="22"/>
      <c r="R71" s="71"/>
      <c r="S71" s="71"/>
      <c r="T71" s="71"/>
      <c r="U71" s="71"/>
      <c r="V71" s="71"/>
      <c r="W71" s="71"/>
      <c r="X71" s="71"/>
      <c r="Y71" s="71"/>
      <c r="Z71" s="71"/>
      <c r="AA71" s="71"/>
      <c r="AB71" s="71"/>
      <c r="AC71" s="22"/>
      <c r="AD71" s="22"/>
      <c r="AE71" s="22"/>
      <c r="AF71" s="22"/>
      <c r="AG71" s="22"/>
      <c r="AH71" s="22"/>
      <c r="AI71" s="22"/>
      <c r="AJ71" s="22"/>
      <c r="AK71" s="22"/>
      <c r="AL71" s="22"/>
      <c r="AM71" s="22"/>
      <c r="AN71" s="22"/>
      <c r="AO71" s="22"/>
      <c r="AP71" s="22"/>
      <c r="AQ71" s="22"/>
      <c r="AR71" s="22"/>
      <c r="AS71" s="22"/>
    </row>
    <row r="72" spans="1:45" x14ac:dyDescent="0.3">
      <c r="A72" s="22"/>
      <c r="B72" s="71"/>
      <c r="C72" s="22"/>
      <c r="D72" s="23"/>
      <c r="E72" s="22"/>
      <c r="F72" s="22"/>
      <c r="G72" s="22"/>
      <c r="H72" s="23"/>
      <c r="I72" s="22"/>
      <c r="J72" s="22"/>
      <c r="K72" s="22"/>
      <c r="L72" s="23"/>
      <c r="M72" s="71"/>
      <c r="N72" s="71"/>
      <c r="O72" s="22"/>
      <c r="P72" s="22"/>
      <c r="Q72" s="22"/>
      <c r="R72" s="71"/>
      <c r="S72" s="71"/>
      <c r="T72" s="71"/>
      <c r="U72" s="71"/>
      <c r="V72" s="71"/>
      <c r="W72" s="71"/>
      <c r="X72" s="71"/>
      <c r="Y72" s="71"/>
      <c r="Z72" s="71"/>
      <c r="AA72" s="71"/>
      <c r="AB72" s="71"/>
      <c r="AC72" s="22"/>
      <c r="AD72" s="22"/>
      <c r="AE72" s="22"/>
      <c r="AF72" s="22"/>
      <c r="AG72" s="22"/>
      <c r="AH72" s="22"/>
      <c r="AI72" s="22"/>
      <c r="AJ72" s="22"/>
      <c r="AK72" s="22"/>
      <c r="AL72" s="22"/>
      <c r="AM72" s="22"/>
      <c r="AN72" s="22"/>
      <c r="AO72" s="22"/>
      <c r="AP72" s="22"/>
      <c r="AQ72" s="22"/>
      <c r="AR72" s="22"/>
      <c r="AS72" s="22"/>
    </row>
    <row r="73" spans="1:45" x14ac:dyDescent="0.3">
      <c r="A73" s="22"/>
      <c r="B73" s="71"/>
      <c r="C73" s="22"/>
      <c r="D73" s="23"/>
      <c r="E73" s="22"/>
      <c r="F73" s="22"/>
      <c r="G73" s="22"/>
      <c r="H73" s="23"/>
      <c r="I73" s="22"/>
      <c r="J73" s="22"/>
      <c r="K73" s="22"/>
      <c r="L73" s="23"/>
      <c r="M73" s="71"/>
      <c r="N73" s="71"/>
      <c r="O73" s="22"/>
      <c r="P73" s="22"/>
      <c r="Q73" s="22"/>
      <c r="R73" s="71"/>
      <c r="S73" s="71"/>
      <c r="T73" s="71"/>
      <c r="U73" s="71"/>
      <c r="V73" s="71"/>
      <c r="W73" s="71"/>
      <c r="X73" s="71"/>
      <c r="Y73" s="71"/>
      <c r="Z73" s="71"/>
      <c r="AA73" s="71"/>
      <c r="AB73" s="71"/>
      <c r="AC73" s="22"/>
      <c r="AD73" s="22"/>
      <c r="AE73" s="22"/>
      <c r="AF73" s="22"/>
      <c r="AG73" s="22"/>
      <c r="AH73" s="22"/>
      <c r="AI73" s="22"/>
      <c r="AJ73" s="22"/>
      <c r="AK73" s="22"/>
      <c r="AL73" s="22"/>
      <c r="AM73" s="22"/>
      <c r="AN73" s="22"/>
      <c r="AO73" s="22"/>
      <c r="AP73" s="22"/>
      <c r="AQ73" s="22"/>
      <c r="AR73" s="22"/>
      <c r="AS73" s="22"/>
    </row>
    <row r="74" spans="1:45" x14ac:dyDescent="0.3">
      <c r="A74" s="22"/>
      <c r="B74" s="71"/>
      <c r="C74" s="22"/>
      <c r="D74" s="23"/>
      <c r="E74" s="22"/>
      <c r="F74" s="22"/>
      <c r="G74" s="22"/>
      <c r="H74" s="23"/>
      <c r="I74" s="22"/>
      <c r="J74" s="22"/>
      <c r="K74" s="22"/>
      <c r="L74" s="23"/>
      <c r="M74" s="71"/>
      <c r="N74" s="71"/>
      <c r="O74" s="22"/>
      <c r="P74" s="22"/>
      <c r="Q74" s="22"/>
      <c r="R74" s="71"/>
      <c r="S74" s="71"/>
      <c r="T74" s="71"/>
      <c r="U74" s="71"/>
      <c r="V74" s="71"/>
      <c r="W74" s="71"/>
      <c r="X74" s="71"/>
      <c r="Y74" s="71"/>
      <c r="Z74" s="71"/>
      <c r="AA74" s="71"/>
      <c r="AB74" s="71"/>
      <c r="AC74" s="22"/>
      <c r="AD74" s="22"/>
      <c r="AE74" s="22"/>
      <c r="AF74" s="22"/>
      <c r="AG74" s="22"/>
      <c r="AH74" s="22"/>
      <c r="AI74" s="22"/>
      <c r="AJ74" s="22"/>
      <c r="AK74" s="22"/>
      <c r="AL74" s="22"/>
      <c r="AM74" s="22"/>
      <c r="AN74" s="22"/>
      <c r="AO74" s="22"/>
      <c r="AP74" s="22"/>
      <c r="AQ74" s="22"/>
      <c r="AR74" s="22"/>
      <c r="AS74" s="22"/>
    </row>
    <row r="75" spans="1:45" x14ac:dyDescent="0.3">
      <c r="A75" s="22"/>
      <c r="B75" s="71"/>
      <c r="C75" s="22"/>
      <c r="D75" s="23"/>
      <c r="E75" s="22"/>
      <c r="F75" s="22"/>
      <c r="G75" s="22"/>
      <c r="H75" s="23"/>
      <c r="I75" s="22"/>
      <c r="J75" s="22"/>
      <c r="K75" s="22"/>
      <c r="L75" s="23"/>
      <c r="M75" s="71"/>
      <c r="N75" s="71"/>
      <c r="O75" s="22"/>
      <c r="P75" s="22"/>
      <c r="Q75" s="22"/>
      <c r="R75" s="71"/>
      <c r="S75" s="71"/>
      <c r="T75" s="71"/>
      <c r="U75" s="71"/>
      <c r="V75" s="71"/>
      <c r="W75" s="71"/>
      <c r="X75" s="71"/>
      <c r="Y75" s="71"/>
      <c r="Z75" s="71"/>
      <c r="AA75" s="71"/>
      <c r="AB75" s="71"/>
      <c r="AC75" s="22"/>
      <c r="AD75" s="22"/>
      <c r="AE75" s="22"/>
      <c r="AF75" s="22"/>
      <c r="AG75" s="22"/>
      <c r="AH75" s="22"/>
      <c r="AI75" s="22"/>
      <c r="AJ75" s="22"/>
      <c r="AK75" s="22"/>
      <c r="AL75" s="22"/>
      <c r="AM75" s="22"/>
      <c r="AN75" s="22"/>
      <c r="AO75" s="22"/>
      <c r="AP75" s="22"/>
      <c r="AQ75" s="22"/>
      <c r="AR75" s="22"/>
      <c r="AS75" s="22"/>
    </row>
    <row r="76" spans="1:45" x14ac:dyDescent="0.3">
      <c r="A76" s="22"/>
      <c r="B76" s="71"/>
      <c r="C76" s="22"/>
      <c r="D76" s="23"/>
      <c r="E76" s="22"/>
      <c r="F76" s="22"/>
      <c r="G76" s="22"/>
      <c r="H76" s="23"/>
      <c r="I76" s="22"/>
      <c r="J76" s="22"/>
      <c r="K76" s="22"/>
      <c r="L76" s="23"/>
      <c r="M76" s="71"/>
      <c r="N76" s="71"/>
      <c r="O76" s="22"/>
      <c r="P76" s="22"/>
      <c r="Q76" s="22"/>
      <c r="R76" s="71"/>
      <c r="S76" s="71"/>
      <c r="T76" s="71"/>
      <c r="U76" s="71"/>
      <c r="V76" s="71"/>
      <c r="W76" s="71"/>
      <c r="X76" s="71"/>
      <c r="Y76" s="71"/>
      <c r="Z76" s="71"/>
      <c r="AA76" s="71"/>
      <c r="AB76" s="71"/>
      <c r="AC76" s="22"/>
      <c r="AD76" s="22"/>
      <c r="AE76" s="22"/>
      <c r="AF76" s="22"/>
      <c r="AG76" s="22"/>
      <c r="AH76" s="22"/>
      <c r="AI76" s="22"/>
      <c r="AJ76" s="22"/>
      <c r="AK76" s="22"/>
      <c r="AL76" s="22"/>
      <c r="AM76" s="22"/>
      <c r="AN76" s="22"/>
      <c r="AO76" s="22"/>
      <c r="AP76" s="22"/>
      <c r="AQ76" s="22"/>
      <c r="AR76" s="22"/>
      <c r="AS76" s="22"/>
    </row>
    <row r="77" spans="1:45" x14ac:dyDescent="0.3">
      <c r="A77" s="22"/>
      <c r="B77" s="71"/>
      <c r="C77" s="22"/>
      <c r="D77" s="23"/>
      <c r="E77" s="22"/>
      <c r="F77" s="22"/>
      <c r="G77" s="22"/>
      <c r="H77" s="23"/>
      <c r="I77" s="22"/>
      <c r="J77" s="22"/>
      <c r="K77" s="22"/>
      <c r="L77" s="23"/>
      <c r="M77" s="71"/>
      <c r="N77" s="71"/>
      <c r="O77" s="22"/>
      <c r="P77" s="22"/>
      <c r="Q77" s="22"/>
      <c r="R77" s="71"/>
      <c r="S77" s="71"/>
      <c r="T77" s="71"/>
      <c r="U77" s="71"/>
      <c r="V77" s="71"/>
      <c r="W77" s="71"/>
      <c r="X77" s="71"/>
      <c r="Y77" s="71"/>
      <c r="Z77" s="71"/>
      <c r="AA77" s="71"/>
      <c r="AB77" s="71"/>
      <c r="AC77" s="22"/>
      <c r="AD77" s="22"/>
      <c r="AE77" s="22"/>
      <c r="AF77" s="22"/>
      <c r="AG77" s="22"/>
      <c r="AH77" s="22"/>
      <c r="AI77" s="22"/>
      <c r="AJ77" s="22"/>
      <c r="AK77" s="22"/>
      <c r="AL77" s="22"/>
      <c r="AM77" s="22"/>
      <c r="AN77" s="22"/>
      <c r="AO77" s="22"/>
      <c r="AP77" s="22"/>
      <c r="AQ77" s="22"/>
      <c r="AR77" s="22"/>
      <c r="AS77" s="22"/>
    </row>
    <row r="78" spans="1:45" x14ac:dyDescent="0.3">
      <c r="A78" s="22"/>
      <c r="B78" s="71"/>
      <c r="C78" s="22"/>
      <c r="D78" s="23"/>
      <c r="E78" s="22"/>
      <c r="F78" s="22"/>
      <c r="G78" s="22"/>
      <c r="H78" s="23"/>
      <c r="I78" s="22"/>
      <c r="J78" s="22"/>
      <c r="K78" s="22"/>
      <c r="L78" s="23"/>
      <c r="M78" s="71"/>
      <c r="N78" s="71"/>
      <c r="O78" s="22"/>
      <c r="P78" s="22"/>
      <c r="Q78" s="22"/>
      <c r="R78" s="71"/>
      <c r="S78" s="71"/>
      <c r="T78" s="71"/>
      <c r="U78" s="71"/>
      <c r="V78" s="71"/>
      <c r="W78" s="71"/>
      <c r="X78" s="71"/>
      <c r="Y78" s="71"/>
      <c r="Z78" s="71"/>
      <c r="AA78" s="71"/>
      <c r="AB78" s="71"/>
      <c r="AC78" s="22"/>
      <c r="AD78" s="22"/>
      <c r="AE78" s="22"/>
      <c r="AF78" s="22"/>
      <c r="AG78" s="22"/>
      <c r="AH78" s="22"/>
      <c r="AI78" s="22"/>
      <c r="AJ78" s="22"/>
      <c r="AK78" s="22"/>
      <c r="AL78" s="22"/>
      <c r="AM78" s="22"/>
      <c r="AN78" s="22"/>
      <c r="AO78" s="22"/>
      <c r="AP78" s="22"/>
      <c r="AQ78" s="22"/>
      <c r="AR78" s="22"/>
      <c r="AS78" s="22"/>
    </row>
    <row r="79" spans="1:45" x14ac:dyDescent="0.3">
      <c r="A79" s="22"/>
      <c r="B79" s="71"/>
      <c r="C79" s="22"/>
      <c r="D79" s="23"/>
      <c r="E79" s="22"/>
      <c r="F79" s="22"/>
      <c r="G79" s="22"/>
      <c r="H79" s="23"/>
      <c r="I79" s="22"/>
      <c r="J79" s="22"/>
      <c r="K79" s="22"/>
      <c r="L79" s="23"/>
      <c r="M79" s="71"/>
      <c r="N79" s="71"/>
      <c r="O79" s="22"/>
      <c r="P79" s="22"/>
      <c r="Q79" s="22"/>
      <c r="R79" s="71"/>
      <c r="S79" s="71"/>
      <c r="T79" s="71"/>
      <c r="U79" s="71"/>
      <c r="V79" s="71"/>
      <c r="W79" s="71"/>
      <c r="X79" s="71"/>
      <c r="Y79" s="71"/>
      <c r="Z79" s="71"/>
      <c r="AA79" s="71"/>
      <c r="AB79" s="71"/>
      <c r="AC79" s="22"/>
      <c r="AD79" s="22"/>
      <c r="AE79" s="22"/>
      <c r="AF79" s="22"/>
      <c r="AG79" s="22"/>
      <c r="AH79" s="22"/>
      <c r="AI79" s="22"/>
      <c r="AJ79" s="22"/>
      <c r="AK79" s="22"/>
      <c r="AL79" s="22"/>
      <c r="AM79" s="22"/>
      <c r="AN79" s="22"/>
      <c r="AO79" s="22"/>
      <c r="AP79" s="22"/>
      <c r="AQ79" s="22"/>
      <c r="AR79" s="22"/>
      <c r="AS79" s="22"/>
    </row>
    <row r="80" spans="1:45" x14ac:dyDescent="0.3">
      <c r="A80" s="22"/>
      <c r="B80" s="71"/>
      <c r="C80" s="22"/>
      <c r="D80" s="23"/>
      <c r="E80" s="22"/>
      <c r="F80" s="22"/>
      <c r="G80" s="22"/>
      <c r="H80" s="23"/>
      <c r="I80" s="22"/>
      <c r="J80" s="22"/>
      <c r="K80" s="22"/>
      <c r="L80" s="23"/>
      <c r="M80" s="71"/>
      <c r="N80" s="71"/>
      <c r="O80" s="22"/>
      <c r="P80" s="22"/>
      <c r="Q80" s="22"/>
      <c r="R80" s="71"/>
      <c r="S80" s="71"/>
      <c r="T80" s="71"/>
      <c r="U80" s="71"/>
      <c r="V80" s="71"/>
      <c r="W80" s="71"/>
      <c r="X80" s="71"/>
      <c r="Y80" s="71"/>
      <c r="Z80" s="71"/>
      <c r="AA80" s="71"/>
      <c r="AB80" s="71"/>
      <c r="AC80" s="22"/>
      <c r="AD80" s="22"/>
      <c r="AE80" s="22"/>
      <c r="AF80" s="22"/>
      <c r="AG80" s="22"/>
      <c r="AH80" s="22"/>
      <c r="AI80" s="22"/>
      <c r="AJ80" s="22"/>
      <c r="AK80" s="22"/>
      <c r="AL80" s="22"/>
      <c r="AM80" s="22"/>
      <c r="AN80" s="22"/>
      <c r="AO80" s="22"/>
      <c r="AP80" s="22"/>
      <c r="AQ80" s="22"/>
      <c r="AR80" s="22"/>
      <c r="AS80" s="22"/>
    </row>
    <row r="81" spans="1:45" x14ac:dyDescent="0.3">
      <c r="A81" s="22"/>
      <c r="B81" s="71"/>
      <c r="C81" s="22"/>
      <c r="D81" s="23"/>
      <c r="E81" s="22"/>
      <c r="F81" s="22"/>
      <c r="G81" s="22"/>
      <c r="H81" s="23"/>
      <c r="I81" s="22"/>
      <c r="J81" s="22"/>
      <c r="K81" s="22"/>
      <c r="L81" s="23"/>
      <c r="M81" s="71"/>
      <c r="N81" s="71"/>
      <c r="O81" s="22"/>
      <c r="P81" s="22"/>
      <c r="Q81" s="22"/>
      <c r="R81" s="71"/>
      <c r="S81" s="71"/>
      <c r="T81" s="71"/>
      <c r="U81" s="71"/>
      <c r="V81" s="71"/>
      <c r="W81" s="71"/>
      <c r="X81" s="71"/>
      <c r="Y81" s="71"/>
      <c r="Z81" s="71"/>
      <c r="AA81" s="71"/>
      <c r="AB81" s="71"/>
      <c r="AC81" s="22"/>
      <c r="AD81" s="22"/>
      <c r="AE81" s="22"/>
      <c r="AF81" s="22"/>
      <c r="AG81" s="22"/>
      <c r="AH81" s="22"/>
      <c r="AI81" s="22"/>
      <c r="AJ81" s="22"/>
      <c r="AK81" s="22"/>
      <c r="AL81" s="22"/>
      <c r="AM81" s="22"/>
      <c r="AN81" s="22"/>
      <c r="AO81" s="22"/>
      <c r="AP81" s="22"/>
      <c r="AQ81" s="22"/>
      <c r="AR81" s="22"/>
      <c r="AS81" s="22"/>
    </row>
    <row r="82" spans="1:45" x14ac:dyDescent="0.3">
      <c r="A82" s="22"/>
      <c r="B82" s="71"/>
      <c r="C82" s="22"/>
      <c r="D82" s="23"/>
      <c r="E82" s="22"/>
      <c r="F82" s="22"/>
      <c r="G82" s="22"/>
      <c r="H82" s="23"/>
      <c r="I82" s="22"/>
      <c r="J82" s="22"/>
      <c r="K82" s="22"/>
      <c r="L82" s="23"/>
      <c r="M82" s="71"/>
      <c r="N82" s="71"/>
      <c r="O82" s="22"/>
      <c r="P82" s="22"/>
      <c r="Q82" s="22"/>
      <c r="R82" s="71"/>
      <c r="S82" s="71"/>
      <c r="T82" s="71"/>
      <c r="U82" s="71"/>
      <c r="V82" s="71"/>
      <c r="W82" s="71"/>
      <c r="X82" s="71"/>
      <c r="Y82" s="71"/>
      <c r="Z82" s="71"/>
      <c r="AA82" s="71"/>
      <c r="AB82" s="71"/>
      <c r="AC82" s="22"/>
      <c r="AD82" s="22"/>
      <c r="AE82" s="22"/>
      <c r="AF82" s="22"/>
      <c r="AG82" s="22"/>
      <c r="AH82" s="22"/>
      <c r="AI82" s="22"/>
      <c r="AJ82" s="22"/>
      <c r="AK82" s="22"/>
      <c r="AL82" s="22"/>
      <c r="AM82" s="22"/>
      <c r="AN82" s="22"/>
      <c r="AO82" s="22"/>
      <c r="AP82" s="22"/>
      <c r="AQ82" s="22"/>
      <c r="AR82" s="22"/>
      <c r="AS82" s="22"/>
    </row>
    <row r="83" spans="1:45" x14ac:dyDescent="0.3">
      <c r="A83" s="22"/>
      <c r="B83" s="71"/>
      <c r="C83" s="22"/>
      <c r="D83" s="23"/>
      <c r="E83" s="22"/>
      <c r="F83" s="22"/>
      <c r="G83" s="22"/>
      <c r="H83" s="23"/>
      <c r="I83" s="22"/>
      <c r="J83" s="22"/>
      <c r="K83" s="22"/>
      <c r="L83" s="23"/>
      <c r="M83" s="71"/>
      <c r="N83" s="71"/>
      <c r="O83" s="22"/>
      <c r="P83" s="22"/>
      <c r="Q83" s="22"/>
      <c r="R83" s="71"/>
      <c r="S83" s="71"/>
      <c r="T83" s="71"/>
      <c r="U83" s="71"/>
      <c r="V83" s="71"/>
      <c r="W83" s="71"/>
      <c r="X83" s="71"/>
      <c r="Y83" s="71"/>
      <c r="Z83" s="71"/>
      <c r="AA83" s="71"/>
      <c r="AB83" s="71"/>
      <c r="AC83" s="22"/>
      <c r="AD83" s="22"/>
      <c r="AE83" s="22"/>
      <c r="AF83" s="22"/>
      <c r="AG83" s="22"/>
      <c r="AH83" s="22"/>
      <c r="AI83" s="22"/>
      <c r="AJ83" s="22"/>
      <c r="AK83" s="22"/>
      <c r="AL83" s="22"/>
      <c r="AM83" s="22"/>
      <c r="AN83" s="22"/>
      <c r="AO83" s="22"/>
      <c r="AP83" s="22"/>
      <c r="AQ83" s="22"/>
      <c r="AR83" s="22"/>
      <c r="AS83" s="22"/>
    </row>
    <row r="84" spans="1:45" x14ac:dyDescent="0.3">
      <c r="A84" s="22"/>
      <c r="B84" s="71"/>
      <c r="C84" s="22"/>
      <c r="D84" s="23"/>
      <c r="E84" s="22"/>
      <c r="F84" s="22"/>
      <c r="G84" s="22"/>
      <c r="H84" s="23"/>
      <c r="I84" s="22"/>
      <c r="J84" s="22"/>
      <c r="K84" s="22"/>
      <c r="L84" s="23"/>
      <c r="M84" s="71"/>
      <c r="N84" s="71"/>
      <c r="O84" s="22"/>
      <c r="P84" s="22"/>
      <c r="Q84" s="22"/>
      <c r="R84" s="71"/>
      <c r="S84" s="71"/>
      <c r="T84" s="71"/>
      <c r="U84" s="71"/>
      <c r="V84" s="71"/>
      <c r="W84" s="71"/>
      <c r="X84" s="71"/>
      <c r="Y84" s="71"/>
      <c r="Z84" s="71"/>
      <c r="AA84" s="71"/>
      <c r="AB84" s="71"/>
      <c r="AC84" s="22"/>
      <c r="AD84" s="22"/>
      <c r="AE84" s="22"/>
      <c r="AF84" s="22"/>
      <c r="AG84" s="22"/>
      <c r="AH84" s="22"/>
      <c r="AI84" s="22"/>
      <c r="AJ84" s="22"/>
      <c r="AK84" s="22"/>
      <c r="AL84" s="22"/>
      <c r="AM84" s="22"/>
      <c r="AN84" s="22"/>
      <c r="AO84" s="22"/>
      <c r="AP84" s="22"/>
      <c r="AQ84" s="22"/>
      <c r="AR84" s="22"/>
      <c r="AS84" s="22"/>
    </row>
    <row r="85" spans="1:45" x14ac:dyDescent="0.3">
      <c r="A85" s="22"/>
      <c r="B85" s="71"/>
      <c r="C85" s="22"/>
      <c r="D85" s="23"/>
      <c r="E85" s="22"/>
      <c r="F85" s="22"/>
      <c r="G85" s="22"/>
      <c r="H85" s="23"/>
      <c r="I85" s="22"/>
      <c r="J85" s="22"/>
      <c r="K85" s="22"/>
      <c r="L85" s="23"/>
      <c r="M85" s="71"/>
      <c r="N85" s="71"/>
      <c r="O85" s="22"/>
      <c r="P85" s="22"/>
      <c r="Q85" s="22"/>
      <c r="R85" s="71"/>
      <c r="S85" s="71"/>
      <c r="T85" s="71"/>
      <c r="U85" s="71"/>
      <c r="V85" s="71"/>
      <c r="W85" s="71"/>
      <c r="X85" s="71"/>
      <c r="Y85" s="71"/>
      <c r="Z85" s="71"/>
      <c r="AA85" s="71"/>
      <c r="AB85" s="71"/>
      <c r="AC85" s="22"/>
      <c r="AD85" s="22"/>
      <c r="AE85" s="22"/>
      <c r="AF85" s="22"/>
      <c r="AG85" s="22"/>
      <c r="AH85" s="22"/>
      <c r="AI85" s="22"/>
      <c r="AJ85" s="22"/>
      <c r="AK85" s="22"/>
      <c r="AL85" s="22"/>
      <c r="AM85" s="22"/>
      <c r="AN85" s="22"/>
      <c r="AO85" s="22"/>
      <c r="AP85" s="22"/>
      <c r="AQ85" s="22"/>
      <c r="AR85" s="22"/>
      <c r="AS85" s="22"/>
    </row>
    <row r="86" spans="1:45" x14ac:dyDescent="0.3">
      <c r="A86" s="22"/>
      <c r="B86" s="71"/>
      <c r="C86" s="22"/>
      <c r="D86" s="23"/>
      <c r="E86" s="22"/>
      <c r="F86" s="22"/>
      <c r="G86" s="22"/>
      <c r="H86" s="23"/>
      <c r="I86" s="22"/>
      <c r="J86" s="22"/>
      <c r="K86" s="22"/>
      <c r="L86" s="23"/>
      <c r="M86" s="71"/>
      <c r="N86" s="71"/>
      <c r="O86" s="22"/>
      <c r="P86" s="22"/>
      <c r="Q86" s="22"/>
      <c r="R86" s="71"/>
      <c r="S86" s="71"/>
      <c r="T86" s="71"/>
      <c r="U86" s="71"/>
      <c r="V86" s="71"/>
      <c r="W86" s="71"/>
      <c r="X86" s="71"/>
      <c r="Y86" s="71"/>
      <c r="Z86" s="71"/>
      <c r="AA86" s="71"/>
      <c r="AB86" s="71"/>
      <c r="AC86" s="22"/>
      <c r="AD86" s="22"/>
      <c r="AE86" s="22"/>
      <c r="AF86" s="22"/>
      <c r="AG86" s="22"/>
      <c r="AH86" s="22"/>
      <c r="AI86" s="22"/>
      <c r="AJ86" s="22"/>
      <c r="AK86" s="22"/>
      <c r="AL86" s="22"/>
      <c r="AM86" s="22"/>
      <c r="AN86" s="22"/>
      <c r="AO86" s="22"/>
      <c r="AP86" s="22"/>
      <c r="AQ86" s="22"/>
      <c r="AR86" s="22"/>
      <c r="AS86" s="22"/>
    </row>
    <row r="87" spans="1:45" x14ac:dyDescent="0.3">
      <c r="A87" s="22"/>
      <c r="B87" s="71"/>
      <c r="C87" s="22"/>
      <c r="D87" s="23"/>
      <c r="E87" s="22"/>
      <c r="F87" s="22"/>
      <c r="G87" s="22"/>
      <c r="H87" s="23"/>
      <c r="I87" s="22"/>
      <c r="J87" s="22"/>
      <c r="K87" s="22"/>
      <c r="L87" s="23"/>
      <c r="M87" s="71"/>
      <c r="N87" s="71"/>
      <c r="O87" s="22"/>
      <c r="P87" s="22"/>
      <c r="Q87" s="22"/>
      <c r="R87" s="71"/>
      <c r="S87" s="71"/>
      <c r="T87" s="71"/>
      <c r="U87" s="71"/>
      <c r="V87" s="71"/>
      <c r="W87" s="71"/>
      <c r="X87" s="71"/>
      <c r="Y87" s="71"/>
      <c r="Z87" s="71"/>
      <c r="AA87" s="71"/>
      <c r="AB87" s="71"/>
      <c r="AC87" s="22"/>
      <c r="AD87" s="22"/>
      <c r="AE87" s="22"/>
      <c r="AF87" s="22"/>
      <c r="AG87" s="22"/>
      <c r="AH87" s="22"/>
      <c r="AI87" s="22"/>
      <c r="AJ87" s="22"/>
      <c r="AK87" s="22"/>
      <c r="AL87" s="22"/>
      <c r="AM87" s="22"/>
      <c r="AN87" s="22"/>
      <c r="AO87" s="22"/>
      <c r="AP87" s="22"/>
      <c r="AQ87" s="22"/>
      <c r="AR87" s="22"/>
      <c r="AS87" s="22"/>
    </row>
    <row r="88" spans="1:45" x14ac:dyDescent="0.3">
      <c r="A88" s="22"/>
      <c r="B88" s="71"/>
      <c r="C88" s="22"/>
      <c r="D88" s="23"/>
      <c r="E88" s="22"/>
      <c r="F88" s="22"/>
      <c r="G88" s="22"/>
      <c r="H88" s="23"/>
      <c r="I88" s="22"/>
      <c r="J88" s="22"/>
      <c r="K88" s="22"/>
      <c r="L88" s="23"/>
      <c r="M88" s="71"/>
      <c r="N88" s="71"/>
      <c r="O88" s="22"/>
      <c r="P88" s="22"/>
      <c r="Q88" s="22"/>
      <c r="R88" s="71"/>
      <c r="S88" s="71"/>
      <c r="T88" s="71"/>
      <c r="U88" s="71"/>
      <c r="V88" s="71"/>
      <c r="W88" s="71"/>
      <c r="X88" s="71"/>
      <c r="Y88" s="71"/>
      <c r="Z88" s="71"/>
      <c r="AA88" s="71"/>
      <c r="AB88" s="71"/>
      <c r="AC88" s="22"/>
      <c r="AD88" s="22"/>
      <c r="AE88" s="22"/>
      <c r="AF88" s="22"/>
      <c r="AG88" s="22"/>
      <c r="AH88" s="22"/>
      <c r="AI88" s="22"/>
      <c r="AJ88" s="22"/>
      <c r="AK88" s="22"/>
      <c r="AL88" s="22"/>
      <c r="AM88" s="22"/>
      <c r="AN88" s="22"/>
      <c r="AO88" s="22"/>
      <c r="AP88" s="22"/>
      <c r="AQ88" s="22"/>
      <c r="AR88" s="22"/>
      <c r="AS88" s="22"/>
    </row>
    <row r="89" spans="1:45" x14ac:dyDescent="0.3">
      <c r="A89" s="22"/>
      <c r="B89" s="71"/>
      <c r="C89" s="22"/>
      <c r="D89" s="23"/>
      <c r="E89" s="22"/>
      <c r="F89" s="22"/>
      <c r="G89" s="22"/>
      <c r="H89" s="23"/>
      <c r="I89" s="22"/>
      <c r="J89" s="22"/>
      <c r="K89" s="22"/>
      <c r="L89" s="23"/>
      <c r="M89" s="71"/>
      <c r="N89" s="71"/>
      <c r="O89" s="22"/>
      <c r="P89" s="22"/>
      <c r="Q89" s="22"/>
      <c r="R89" s="71"/>
      <c r="S89" s="71"/>
      <c r="T89" s="71"/>
      <c r="U89" s="71"/>
      <c r="V89" s="71"/>
      <c r="W89" s="71"/>
      <c r="X89" s="71"/>
      <c r="Y89" s="71"/>
      <c r="Z89" s="71"/>
      <c r="AA89" s="71"/>
      <c r="AB89" s="71"/>
      <c r="AC89" s="22"/>
      <c r="AD89" s="22"/>
      <c r="AE89" s="22"/>
      <c r="AF89" s="22"/>
      <c r="AG89" s="22"/>
      <c r="AH89" s="22"/>
      <c r="AI89" s="22"/>
      <c r="AJ89" s="22"/>
      <c r="AK89" s="22"/>
      <c r="AL89" s="22"/>
      <c r="AM89" s="22"/>
      <c r="AN89" s="22"/>
      <c r="AO89" s="22"/>
      <c r="AP89" s="22"/>
      <c r="AQ89" s="22"/>
      <c r="AR89" s="22"/>
      <c r="AS89" s="22"/>
    </row>
    <row r="90" spans="1:45" x14ac:dyDescent="0.3">
      <c r="A90" s="22"/>
      <c r="B90" s="71"/>
      <c r="C90" s="22"/>
      <c r="D90" s="23"/>
      <c r="E90" s="22"/>
      <c r="F90" s="22"/>
      <c r="G90" s="22"/>
      <c r="H90" s="23"/>
      <c r="I90" s="22"/>
      <c r="J90" s="22"/>
      <c r="K90" s="22"/>
      <c r="L90" s="23"/>
      <c r="M90" s="71"/>
      <c r="N90" s="71"/>
      <c r="O90" s="22"/>
      <c r="P90" s="22"/>
      <c r="Q90" s="22"/>
      <c r="R90" s="71"/>
      <c r="S90" s="71"/>
      <c r="T90" s="71"/>
      <c r="U90" s="71"/>
      <c r="V90" s="71"/>
      <c r="W90" s="71"/>
      <c r="X90" s="71"/>
      <c r="Y90" s="71"/>
      <c r="Z90" s="71"/>
      <c r="AA90" s="71"/>
      <c r="AB90" s="71"/>
      <c r="AC90" s="22"/>
      <c r="AD90" s="22"/>
      <c r="AE90" s="22"/>
      <c r="AF90" s="22"/>
      <c r="AG90" s="22"/>
      <c r="AH90" s="22"/>
      <c r="AI90" s="22"/>
      <c r="AJ90" s="22"/>
      <c r="AK90" s="22"/>
      <c r="AL90" s="22"/>
      <c r="AM90" s="22"/>
      <c r="AN90" s="22"/>
      <c r="AO90" s="22"/>
      <c r="AP90" s="22"/>
      <c r="AQ90" s="22"/>
      <c r="AR90" s="22"/>
      <c r="AS90" s="22"/>
    </row>
    <row r="91" spans="1:45" x14ac:dyDescent="0.3">
      <c r="A91" s="22"/>
      <c r="B91" s="71"/>
      <c r="C91" s="22"/>
      <c r="D91" s="23"/>
      <c r="E91" s="22"/>
      <c r="F91" s="22"/>
      <c r="G91" s="22"/>
      <c r="H91" s="23"/>
      <c r="I91" s="22"/>
      <c r="J91" s="22"/>
      <c r="K91" s="22"/>
      <c r="L91" s="23"/>
      <c r="M91" s="71"/>
      <c r="N91" s="71"/>
      <c r="O91" s="22"/>
      <c r="P91" s="22"/>
      <c r="Q91" s="22"/>
      <c r="R91" s="71"/>
      <c r="S91" s="71"/>
      <c r="T91" s="71"/>
      <c r="U91" s="71"/>
      <c r="V91" s="71"/>
      <c r="W91" s="71"/>
      <c r="X91" s="71"/>
      <c r="Y91" s="71"/>
      <c r="Z91" s="71"/>
      <c r="AA91" s="71"/>
      <c r="AB91" s="71"/>
      <c r="AC91" s="22"/>
      <c r="AD91" s="22"/>
      <c r="AE91" s="22"/>
      <c r="AF91" s="22"/>
      <c r="AG91" s="22"/>
      <c r="AH91" s="22"/>
      <c r="AI91" s="22"/>
      <c r="AJ91" s="22"/>
      <c r="AK91" s="22"/>
      <c r="AL91" s="22"/>
      <c r="AM91" s="22"/>
      <c r="AN91" s="22"/>
      <c r="AO91" s="22"/>
      <c r="AP91" s="22"/>
      <c r="AQ91" s="22"/>
      <c r="AR91" s="22"/>
      <c r="AS91" s="22"/>
    </row>
    <row r="92" spans="1:45" x14ac:dyDescent="0.3">
      <c r="A92" s="22"/>
      <c r="B92" s="71"/>
      <c r="C92" s="22"/>
      <c r="D92" s="23"/>
      <c r="E92" s="22"/>
      <c r="F92" s="22"/>
      <c r="G92" s="22"/>
      <c r="H92" s="23"/>
      <c r="I92" s="22"/>
      <c r="J92" s="22"/>
      <c r="K92" s="22"/>
      <c r="L92" s="23"/>
      <c r="M92" s="71"/>
      <c r="N92" s="71"/>
      <c r="O92" s="22"/>
      <c r="P92" s="22"/>
      <c r="Q92" s="22"/>
      <c r="R92" s="71"/>
      <c r="S92" s="71"/>
      <c r="T92" s="71"/>
      <c r="U92" s="71"/>
      <c r="V92" s="71"/>
      <c r="W92" s="71"/>
      <c r="X92" s="71"/>
      <c r="Y92" s="71"/>
      <c r="Z92" s="71"/>
      <c r="AA92" s="71"/>
      <c r="AB92" s="71"/>
      <c r="AC92" s="22"/>
      <c r="AD92" s="22"/>
      <c r="AE92" s="22"/>
      <c r="AF92" s="22"/>
      <c r="AG92" s="22"/>
      <c r="AH92" s="22"/>
      <c r="AI92" s="22"/>
      <c r="AJ92" s="22"/>
      <c r="AK92" s="22"/>
      <c r="AL92" s="22"/>
      <c r="AM92" s="22"/>
      <c r="AN92" s="22"/>
      <c r="AO92" s="22"/>
      <c r="AP92" s="22"/>
      <c r="AQ92" s="22"/>
      <c r="AR92" s="22"/>
      <c r="AS92" s="22"/>
    </row>
    <row r="93" spans="1:45" x14ac:dyDescent="0.3">
      <c r="A93" s="22"/>
      <c r="B93" s="71"/>
      <c r="C93" s="22"/>
      <c r="D93" s="23"/>
      <c r="E93" s="22"/>
      <c r="F93" s="22"/>
      <c r="G93" s="22"/>
      <c r="H93" s="23"/>
      <c r="I93" s="22"/>
      <c r="J93" s="22"/>
      <c r="K93" s="22"/>
      <c r="L93" s="23"/>
      <c r="M93" s="71"/>
      <c r="N93" s="71"/>
      <c r="O93" s="22"/>
      <c r="P93" s="22"/>
      <c r="Q93" s="22"/>
      <c r="R93" s="71"/>
      <c r="S93" s="71"/>
      <c r="T93" s="71"/>
      <c r="U93" s="71"/>
      <c r="V93" s="71"/>
      <c r="W93" s="71"/>
      <c r="X93" s="71"/>
      <c r="Y93" s="71"/>
      <c r="Z93" s="71"/>
      <c r="AA93" s="71"/>
      <c r="AB93" s="71"/>
      <c r="AC93" s="22"/>
      <c r="AD93" s="22"/>
      <c r="AE93" s="22"/>
      <c r="AF93" s="22"/>
      <c r="AG93" s="22"/>
      <c r="AH93" s="22"/>
      <c r="AI93" s="22"/>
      <c r="AJ93" s="22"/>
      <c r="AK93" s="22"/>
      <c r="AL93" s="22"/>
      <c r="AM93" s="22"/>
      <c r="AN93" s="22"/>
      <c r="AO93" s="22"/>
      <c r="AP93" s="22"/>
      <c r="AQ93" s="22"/>
      <c r="AR93" s="22"/>
      <c r="AS93" s="22"/>
    </row>
    <row r="94" spans="1:45" x14ac:dyDescent="0.3">
      <c r="A94" s="22"/>
      <c r="B94" s="71"/>
      <c r="C94" s="22"/>
      <c r="D94" s="23"/>
      <c r="E94" s="22"/>
      <c r="F94" s="22"/>
      <c r="G94" s="22"/>
      <c r="H94" s="23"/>
      <c r="I94" s="22"/>
      <c r="J94" s="22"/>
      <c r="K94" s="22"/>
      <c r="L94" s="23"/>
      <c r="M94" s="71"/>
      <c r="N94" s="71"/>
      <c r="O94" s="22"/>
      <c r="P94" s="22"/>
      <c r="Q94" s="22"/>
      <c r="R94" s="71"/>
      <c r="S94" s="71"/>
      <c r="T94" s="71"/>
      <c r="U94" s="71"/>
      <c r="V94" s="71"/>
      <c r="W94" s="71"/>
      <c r="X94" s="71"/>
      <c r="Y94" s="71"/>
      <c r="Z94" s="71"/>
      <c r="AA94" s="71"/>
      <c r="AB94" s="71"/>
      <c r="AC94" s="22"/>
      <c r="AD94" s="22"/>
      <c r="AE94" s="22"/>
      <c r="AF94" s="22"/>
      <c r="AG94" s="22"/>
      <c r="AH94" s="22"/>
      <c r="AI94" s="22"/>
      <c r="AJ94" s="22"/>
      <c r="AK94" s="22"/>
      <c r="AL94" s="22"/>
      <c r="AM94" s="22"/>
      <c r="AN94" s="22"/>
      <c r="AO94" s="22"/>
      <c r="AP94" s="22"/>
      <c r="AQ94" s="22"/>
      <c r="AR94" s="22"/>
      <c r="AS94" s="22"/>
    </row>
    <row r="95" spans="1:45" x14ac:dyDescent="0.3">
      <c r="A95" s="22"/>
      <c r="B95" s="71"/>
      <c r="C95" s="22"/>
      <c r="D95" s="23"/>
      <c r="E95" s="22"/>
      <c r="F95" s="22"/>
      <c r="G95" s="22"/>
      <c r="H95" s="23"/>
      <c r="I95" s="22"/>
      <c r="J95" s="22"/>
      <c r="K95" s="22"/>
      <c r="L95" s="23"/>
      <c r="M95" s="71"/>
      <c r="N95" s="71"/>
      <c r="O95" s="22"/>
      <c r="P95" s="22"/>
      <c r="Q95" s="22"/>
      <c r="R95" s="71"/>
      <c r="S95" s="71"/>
      <c r="T95" s="71"/>
      <c r="U95" s="71"/>
      <c r="V95" s="71"/>
      <c r="W95" s="71"/>
      <c r="X95" s="71"/>
      <c r="Y95" s="71"/>
      <c r="Z95" s="71"/>
      <c r="AA95" s="71"/>
      <c r="AB95" s="71"/>
      <c r="AC95" s="22"/>
      <c r="AD95" s="22"/>
      <c r="AE95" s="22"/>
      <c r="AF95" s="22"/>
      <c r="AG95" s="22"/>
      <c r="AH95" s="22"/>
      <c r="AI95" s="22"/>
      <c r="AJ95" s="22"/>
      <c r="AK95" s="22"/>
      <c r="AL95" s="22"/>
      <c r="AM95" s="22"/>
      <c r="AN95" s="22"/>
      <c r="AO95" s="22"/>
      <c r="AP95" s="22"/>
      <c r="AQ95" s="22"/>
      <c r="AR95" s="22"/>
      <c r="AS95" s="22"/>
    </row>
    <row r="96" spans="1:45" x14ac:dyDescent="0.3">
      <c r="A96" s="22"/>
      <c r="B96" s="71"/>
      <c r="C96" s="22"/>
      <c r="D96" s="23"/>
      <c r="E96" s="22"/>
      <c r="F96" s="22"/>
      <c r="G96" s="22"/>
      <c r="H96" s="23"/>
      <c r="I96" s="22"/>
      <c r="J96" s="22"/>
      <c r="K96" s="22"/>
      <c r="L96" s="23"/>
      <c r="M96" s="71"/>
      <c r="N96" s="71"/>
      <c r="O96" s="22"/>
      <c r="P96" s="22"/>
      <c r="Q96" s="22"/>
      <c r="R96" s="71"/>
      <c r="S96" s="71"/>
      <c r="T96" s="71"/>
      <c r="U96" s="71"/>
      <c r="V96" s="71"/>
      <c r="W96" s="71"/>
      <c r="X96" s="71"/>
      <c r="Y96" s="71"/>
      <c r="Z96" s="71"/>
      <c r="AA96" s="71"/>
      <c r="AB96" s="71"/>
      <c r="AC96" s="22"/>
      <c r="AD96" s="22"/>
      <c r="AE96" s="22"/>
      <c r="AF96" s="22"/>
      <c r="AG96" s="22"/>
      <c r="AH96" s="22"/>
      <c r="AI96" s="22"/>
      <c r="AJ96" s="22"/>
      <c r="AK96" s="22"/>
      <c r="AL96" s="22"/>
      <c r="AM96" s="22"/>
      <c r="AN96" s="22"/>
      <c r="AO96" s="22"/>
      <c r="AP96" s="22"/>
      <c r="AQ96" s="22"/>
      <c r="AR96" s="22"/>
      <c r="AS96" s="22"/>
    </row>
    <row r="97" spans="1:45" x14ac:dyDescent="0.3">
      <c r="A97" s="22"/>
      <c r="B97" s="71"/>
      <c r="C97" s="22"/>
      <c r="D97" s="23"/>
      <c r="E97" s="22"/>
      <c r="F97" s="22"/>
      <c r="G97" s="22"/>
      <c r="H97" s="23"/>
      <c r="I97" s="22"/>
      <c r="J97" s="22"/>
      <c r="K97" s="22"/>
      <c r="L97" s="23"/>
      <c r="M97" s="71"/>
      <c r="N97" s="71"/>
      <c r="O97" s="22"/>
      <c r="P97" s="22"/>
      <c r="Q97" s="22"/>
      <c r="R97" s="71"/>
      <c r="S97" s="71"/>
      <c r="T97" s="71"/>
      <c r="U97" s="71"/>
      <c r="V97" s="71"/>
      <c r="W97" s="71"/>
      <c r="X97" s="71"/>
      <c r="Y97" s="71"/>
      <c r="Z97" s="71"/>
      <c r="AA97" s="71"/>
      <c r="AB97" s="71"/>
      <c r="AC97" s="22"/>
      <c r="AD97" s="22"/>
      <c r="AE97" s="22"/>
      <c r="AF97" s="22"/>
      <c r="AG97" s="22"/>
      <c r="AH97" s="22"/>
      <c r="AI97" s="22"/>
      <c r="AJ97" s="22"/>
      <c r="AK97" s="22"/>
      <c r="AL97" s="22"/>
      <c r="AM97" s="22"/>
      <c r="AN97" s="22"/>
      <c r="AO97" s="22"/>
      <c r="AP97" s="22"/>
      <c r="AQ97" s="22"/>
      <c r="AR97" s="22"/>
      <c r="AS97" s="22"/>
    </row>
    <row r="98" spans="1:45" x14ac:dyDescent="0.3">
      <c r="A98" s="22"/>
      <c r="B98" s="71"/>
      <c r="C98" s="22"/>
      <c r="D98" s="23"/>
      <c r="E98" s="22"/>
      <c r="F98" s="22"/>
      <c r="G98" s="22"/>
      <c r="H98" s="23"/>
      <c r="I98" s="22"/>
      <c r="J98" s="22"/>
      <c r="K98" s="22"/>
      <c r="L98" s="23"/>
      <c r="M98" s="71"/>
      <c r="N98" s="71"/>
      <c r="O98" s="22"/>
      <c r="P98" s="22"/>
      <c r="Q98" s="22"/>
      <c r="R98" s="71"/>
      <c r="S98" s="71"/>
      <c r="T98" s="71"/>
      <c r="U98" s="71"/>
      <c r="V98" s="71"/>
      <c r="W98" s="71"/>
      <c r="X98" s="71"/>
      <c r="Y98" s="71"/>
      <c r="Z98" s="71"/>
      <c r="AA98" s="71"/>
      <c r="AB98" s="71"/>
      <c r="AC98" s="22"/>
      <c r="AD98" s="22"/>
      <c r="AE98" s="22"/>
      <c r="AF98" s="22"/>
      <c r="AG98" s="22"/>
      <c r="AH98" s="22"/>
      <c r="AI98" s="22"/>
      <c r="AJ98" s="22"/>
      <c r="AK98" s="22"/>
      <c r="AL98" s="22"/>
      <c r="AM98" s="22"/>
      <c r="AN98" s="22"/>
      <c r="AO98" s="22"/>
      <c r="AP98" s="22"/>
      <c r="AQ98" s="22"/>
      <c r="AR98" s="22"/>
      <c r="AS98" s="22"/>
    </row>
    <row r="99" spans="1:45" x14ac:dyDescent="0.3">
      <c r="A99" s="22"/>
      <c r="B99" s="71"/>
      <c r="C99" s="22"/>
      <c r="D99" s="23"/>
      <c r="E99" s="22"/>
      <c r="F99" s="22"/>
      <c r="G99" s="22"/>
      <c r="H99" s="23"/>
      <c r="I99" s="22"/>
      <c r="J99" s="22"/>
      <c r="K99" s="22"/>
      <c r="L99" s="23"/>
      <c r="M99" s="71"/>
      <c r="N99" s="71"/>
      <c r="O99" s="22"/>
      <c r="P99" s="22"/>
      <c r="Q99" s="22"/>
      <c r="R99" s="71"/>
      <c r="S99" s="71"/>
      <c r="T99" s="71"/>
      <c r="U99" s="71"/>
      <c r="V99" s="71"/>
      <c r="W99" s="71"/>
      <c r="X99" s="71"/>
      <c r="Y99" s="71"/>
      <c r="Z99" s="71"/>
      <c r="AA99" s="71"/>
      <c r="AB99" s="71"/>
      <c r="AC99" s="22"/>
      <c r="AD99" s="22"/>
      <c r="AE99" s="22"/>
      <c r="AF99" s="22"/>
      <c r="AG99" s="22"/>
      <c r="AH99" s="22"/>
      <c r="AI99" s="22"/>
      <c r="AJ99" s="22"/>
      <c r="AK99" s="22"/>
      <c r="AL99" s="22"/>
      <c r="AM99" s="22"/>
      <c r="AN99" s="22"/>
      <c r="AO99" s="22"/>
      <c r="AP99" s="22"/>
      <c r="AQ99" s="22"/>
      <c r="AR99" s="22"/>
      <c r="AS99" s="22"/>
    </row>
    <row r="100" spans="1:45" x14ac:dyDescent="0.3">
      <c r="A100" s="22"/>
      <c r="B100" s="71"/>
      <c r="C100" s="22"/>
      <c r="D100" s="23"/>
      <c r="E100" s="22"/>
      <c r="F100" s="22"/>
      <c r="G100" s="22"/>
      <c r="H100" s="23"/>
      <c r="I100" s="22"/>
      <c r="J100" s="22"/>
      <c r="K100" s="22"/>
      <c r="L100" s="23"/>
      <c r="M100" s="71"/>
      <c r="N100" s="71"/>
      <c r="O100" s="22"/>
      <c r="P100" s="22"/>
      <c r="Q100" s="22"/>
      <c r="R100" s="71"/>
      <c r="S100" s="71"/>
      <c r="T100" s="71"/>
      <c r="U100" s="71"/>
      <c r="V100" s="71"/>
      <c r="W100" s="71"/>
      <c r="X100" s="71"/>
      <c r="Y100" s="71"/>
      <c r="Z100" s="71"/>
      <c r="AA100" s="71"/>
      <c r="AB100" s="71"/>
      <c r="AC100" s="22"/>
      <c r="AD100" s="22"/>
      <c r="AE100" s="22"/>
      <c r="AF100" s="22"/>
      <c r="AG100" s="22"/>
      <c r="AH100" s="22"/>
      <c r="AI100" s="22"/>
      <c r="AJ100" s="22"/>
      <c r="AK100" s="22"/>
      <c r="AL100" s="22"/>
      <c r="AM100" s="22"/>
      <c r="AN100" s="22"/>
      <c r="AO100" s="22"/>
      <c r="AP100" s="22"/>
      <c r="AQ100" s="22"/>
      <c r="AR100" s="22"/>
      <c r="AS100" s="22"/>
    </row>
    <row r="101" spans="1:45" x14ac:dyDescent="0.3">
      <c r="A101" s="22"/>
      <c r="B101" s="71"/>
      <c r="C101" s="22"/>
      <c r="D101" s="23"/>
      <c r="E101" s="22"/>
      <c r="F101" s="22"/>
      <c r="G101" s="22"/>
      <c r="H101" s="23"/>
      <c r="I101" s="22"/>
      <c r="J101" s="22"/>
      <c r="K101" s="22"/>
      <c r="L101" s="23"/>
      <c r="M101" s="71"/>
      <c r="N101" s="71"/>
      <c r="O101" s="22"/>
      <c r="P101" s="22"/>
      <c r="Q101" s="22"/>
      <c r="R101" s="71"/>
      <c r="S101" s="71"/>
      <c r="T101" s="71"/>
      <c r="U101" s="71"/>
      <c r="V101" s="71"/>
      <c r="W101" s="71"/>
      <c r="X101" s="71"/>
      <c r="Y101" s="71"/>
      <c r="Z101" s="71"/>
      <c r="AA101" s="71"/>
      <c r="AB101" s="71"/>
      <c r="AC101" s="22"/>
      <c r="AD101" s="22"/>
      <c r="AE101" s="22"/>
      <c r="AF101" s="22"/>
      <c r="AG101" s="22"/>
      <c r="AH101" s="22"/>
      <c r="AI101" s="22"/>
      <c r="AJ101" s="22"/>
      <c r="AK101" s="22"/>
      <c r="AL101" s="22"/>
      <c r="AM101" s="22"/>
      <c r="AN101" s="22"/>
      <c r="AO101" s="22"/>
      <c r="AP101" s="22"/>
      <c r="AQ101" s="22"/>
      <c r="AR101" s="22"/>
      <c r="AS101" s="22"/>
    </row>
    <row r="102" spans="1:45" x14ac:dyDescent="0.3">
      <c r="A102" s="22"/>
      <c r="B102" s="71"/>
      <c r="C102" s="22"/>
      <c r="D102" s="23"/>
      <c r="E102" s="22"/>
      <c r="F102" s="22"/>
      <c r="G102" s="22"/>
      <c r="H102" s="23"/>
      <c r="I102" s="22"/>
      <c r="J102" s="22"/>
      <c r="K102" s="22"/>
      <c r="L102" s="23"/>
      <c r="M102" s="71"/>
      <c r="N102" s="71"/>
      <c r="O102" s="22"/>
      <c r="P102" s="22"/>
      <c r="Q102" s="22"/>
      <c r="R102" s="71"/>
      <c r="S102" s="71"/>
      <c r="T102" s="71"/>
      <c r="U102" s="71"/>
      <c r="V102" s="71"/>
      <c r="W102" s="71"/>
      <c r="X102" s="71"/>
      <c r="Y102" s="71"/>
      <c r="Z102" s="71"/>
      <c r="AA102" s="71"/>
      <c r="AB102" s="71"/>
      <c r="AC102" s="22"/>
      <c r="AD102" s="22"/>
      <c r="AE102" s="22"/>
      <c r="AF102" s="22"/>
      <c r="AG102" s="22"/>
      <c r="AH102" s="22"/>
      <c r="AI102" s="22"/>
      <c r="AJ102" s="22"/>
      <c r="AK102" s="22"/>
      <c r="AL102" s="22"/>
      <c r="AM102" s="22"/>
      <c r="AN102" s="22"/>
      <c r="AO102" s="22"/>
      <c r="AP102" s="22"/>
      <c r="AQ102" s="22"/>
      <c r="AR102" s="22"/>
      <c r="AS102" s="22"/>
    </row>
    <row r="103" spans="1:45" x14ac:dyDescent="0.3">
      <c r="A103" s="22"/>
      <c r="B103" s="71"/>
      <c r="C103" s="22"/>
      <c r="D103" s="23"/>
      <c r="E103" s="22"/>
      <c r="F103" s="22"/>
      <c r="G103" s="22"/>
      <c r="H103" s="23"/>
      <c r="I103" s="22"/>
      <c r="J103" s="22"/>
      <c r="K103" s="22"/>
      <c r="L103" s="23"/>
      <c r="M103" s="71"/>
      <c r="N103" s="71"/>
      <c r="O103" s="22"/>
      <c r="P103" s="22"/>
      <c r="Q103" s="22"/>
      <c r="R103" s="71"/>
      <c r="S103" s="71"/>
      <c r="T103" s="71"/>
      <c r="U103" s="71"/>
      <c r="V103" s="71"/>
      <c r="W103" s="71"/>
      <c r="X103" s="71"/>
      <c r="Y103" s="71"/>
      <c r="Z103" s="71"/>
      <c r="AA103" s="71"/>
      <c r="AB103" s="71"/>
      <c r="AC103" s="22"/>
      <c r="AD103" s="22"/>
      <c r="AE103" s="22"/>
      <c r="AF103" s="22"/>
      <c r="AG103" s="22"/>
      <c r="AH103" s="22"/>
      <c r="AI103" s="22"/>
      <c r="AJ103" s="22"/>
      <c r="AK103" s="22"/>
      <c r="AL103" s="22"/>
      <c r="AM103" s="22"/>
      <c r="AN103" s="22"/>
      <c r="AO103" s="22"/>
      <c r="AP103" s="22"/>
      <c r="AQ103" s="22"/>
      <c r="AR103" s="22"/>
      <c r="AS103" s="22"/>
    </row>
    <row r="104" spans="1:45" x14ac:dyDescent="0.3">
      <c r="A104" s="22"/>
      <c r="B104" s="71"/>
      <c r="C104" s="22"/>
      <c r="D104" s="23"/>
      <c r="E104" s="22"/>
      <c r="F104" s="22"/>
      <c r="G104" s="22"/>
      <c r="H104" s="23"/>
      <c r="I104" s="22"/>
      <c r="J104" s="22"/>
      <c r="K104" s="22"/>
      <c r="L104" s="23"/>
      <c r="M104" s="71"/>
      <c r="N104" s="71"/>
      <c r="O104" s="22"/>
      <c r="P104" s="22"/>
      <c r="Q104" s="22"/>
      <c r="R104" s="71"/>
      <c r="S104" s="71"/>
      <c r="T104" s="71"/>
      <c r="U104" s="71"/>
      <c r="V104" s="71"/>
      <c r="W104" s="71"/>
      <c r="X104" s="71"/>
      <c r="Y104" s="71"/>
      <c r="Z104" s="71"/>
      <c r="AA104" s="71"/>
      <c r="AB104" s="71"/>
      <c r="AC104" s="22"/>
      <c r="AD104" s="22"/>
      <c r="AE104" s="22"/>
      <c r="AF104" s="22"/>
      <c r="AG104" s="22"/>
      <c r="AH104" s="22"/>
      <c r="AI104" s="22"/>
      <c r="AJ104" s="22"/>
      <c r="AK104" s="22"/>
      <c r="AL104" s="22"/>
      <c r="AM104" s="22"/>
      <c r="AN104" s="22"/>
      <c r="AO104" s="22"/>
      <c r="AP104" s="22"/>
      <c r="AQ104" s="22"/>
      <c r="AR104" s="22"/>
      <c r="AS104" s="22"/>
    </row>
    <row r="105" spans="1:45" x14ac:dyDescent="0.3">
      <c r="A105" s="22"/>
      <c r="B105" s="71"/>
      <c r="C105" s="22"/>
      <c r="D105" s="23"/>
      <c r="E105" s="22"/>
      <c r="F105" s="22"/>
      <c r="G105" s="22"/>
      <c r="H105" s="23"/>
      <c r="I105" s="22"/>
      <c r="J105" s="22"/>
      <c r="K105" s="22"/>
      <c r="L105" s="23"/>
      <c r="M105" s="71"/>
      <c r="N105" s="71"/>
      <c r="O105" s="22"/>
      <c r="P105" s="22"/>
      <c r="Q105" s="22"/>
      <c r="R105" s="71"/>
      <c r="S105" s="71"/>
      <c r="T105" s="71"/>
      <c r="U105" s="71"/>
      <c r="V105" s="71"/>
      <c r="W105" s="71"/>
      <c r="X105" s="71"/>
      <c r="Y105" s="71"/>
      <c r="Z105" s="71"/>
      <c r="AA105" s="71"/>
      <c r="AB105" s="71"/>
      <c r="AC105" s="22"/>
      <c r="AD105" s="22"/>
      <c r="AE105" s="22"/>
      <c r="AF105" s="22"/>
      <c r="AG105" s="22"/>
      <c r="AH105" s="22"/>
      <c r="AI105" s="22"/>
      <c r="AJ105" s="22"/>
      <c r="AK105" s="22"/>
      <c r="AL105" s="22"/>
      <c r="AM105" s="22"/>
      <c r="AN105" s="22"/>
      <c r="AO105" s="22"/>
      <c r="AP105" s="22"/>
      <c r="AQ105" s="22"/>
      <c r="AR105" s="22"/>
      <c r="AS105" s="22"/>
    </row>
    <row r="106" spans="1:45" x14ac:dyDescent="0.3">
      <c r="A106" s="22"/>
      <c r="B106" s="71"/>
      <c r="C106" s="22"/>
      <c r="D106" s="23"/>
      <c r="E106" s="22"/>
      <c r="F106" s="22"/>
      <c r="G106" s="22"/>
      <c r="H106" s="23"/>
      <c r="I106" s="22"/>
      <c r="J106" s="22"/>
      <c r="K106" s="22"/>
      <c r="L106" s="23"/>
      <c r="M106" s="71"/>
      <c r="N106" s="71"/>
      <c r="O106" s="22"/>
      <c r="P106" s="22"/>
      <c r="Q106" s="22"/>
      <c r="R106" s="71"/>
      <c r="S106" s="71"/>
      <c r="T106" s="71"/>
      <c r="U106" s="71"/>
      <c r="V106" s="71"/>
      <c r="W106" s="71"/>
      <c r="X106" s="71"/>
      <c r="Y106" s="71"/>
      <c r="Z106" s="71"/>
      <c r="AA106" s="71"/>
      <c r="AB106" s="71"/>
      <c r="AC106" s="22"/>
      <c r="AD106" s="22"/>
      <c r="AE106" s="22"/>
      <c r="AF106" s="22"/>
      <c r="AG106" s="22"/>
      <c r="AH106" s="22"/>
      <c r="AI106" s="22"/>
      <c r="AJ106" s="22"/>
      <c r="AK106" s="22"/>
      <c r="AL106" s="22"/>
      <c r="AM106" s="22"/>
      <c r="AN106" s="22"/>
      <c r="AO106" s="22"/>
      <c r="AP106" s="22"/>
      <c r="AQ106" s="22"/>
      <c r="AR106" s="22"/>
      <c r="AS106" s="22"/>
    </row>
    <row r="107" spans="1:45" x14ac:dyDescent="0.3">
      <c r="A107" s="22"/>
      <c r="B107" s="71"/>
      <c r="C107" s="22"/>
      <c r="D107" s="23"/>
      <c r="E107" s="22"/>
      <c r="F107" s="22"/>
      <c r="G107" s="22"/>
      <c r="H107" s="23"/>
      <c r="I107" s="22"/>
      <c r="J107" s="22"/>
      <c r="K107" s="22"/>
      <c r="L107" s="23"/>
      <c r="M107" s="71"/>
      <c r="N107" s="71"/>
      <c r="O107" s="22"/>
      <c r="P107" s="22"/>
      <c r="Q107" s="22"/>
      <c r="R107" s="71"/>
      <c r="S107" s="71"/>
      <c r="T107" s="71"/>
      <c r="U107" s="71"/>
      <c r="V107" s="71"/>
      <c r="W107" s="71"/>
      <c r="X107" s="71"/>
      <c r="Y107" s="71"/>
      <c r="Z107" s="71"/>
      <c r="AA107" s="71"/>
      <c r="AB107" s="71"/>
      <c r="AC107" s="22"/>
      <c r="AD107" s="22"/>
      <c r="AE107" s="22"/>
      <c r="AF107" s="22"/>
      <c r="AG107" s="22"/>
      <c r="AH107" s="22"/>
      <c r="AI107" s="22"/>
      <c r="AJ107" s="22"/>
      <c r="AK107" s="22"/>
      <c r="AL107" s="22"/>
      <c r="AM107" s="22"/>
      <c r="AN107" s="22"/>
      <c r="AO107" s="22"/>
      <c r="AP107" s="22"/>
      <c r="AQ107" s="22"/>
      <c r="AR107" s="22"/>
      <c r="AS107" s="22"/>
    </row>
    <row r="108" spans="1:45" x14ac:dyDescent="0.3">
      <c r="A108" s="22"/>
      <c r="B108" s="71"/>
      <c r="C108" s="22"/>
      <c r="D108" s="23"/>
      <c r="E108" s="22"/>
      <c r="F108" s="22"/>
      <c r="G108" s="22"/>
      <c r="H108" s="23"/>
      <c r="I108" s="22"/>
      <c r="J108" s="22"/>
      <c r="K108" s="22"/>
      <c r="L108" s="23"/>
      <c r="M108" s="71"/>
      <c r="N108" s="71"/>
      <c r="O108" s="22"/>
      <c r="P108" s="22"/>
      <c r="Q108" s="22"/>
      <c r="R108" s="71"/>
      <c r="S108" s="71"/>
      <c r="T108" s="71"/>
      <c r="U108" s="71"/>
      <c r="V108" s="71"/>
      <c r="W108" s="71"/>
      <c r="X108" s="71"/>
      <c r="Y108" s="71"/>
      <c r="Z108" s="71"/>
      <c r="AA108" s="71"/>
      <c r="AB108" s="71"/>
      <c r="AC108" s="22"/>
      <c r="AD108" s="22"/>
      <c r="AE108" s="22"/>
      <c r="AF108" s="22"/>
      <c r="AG108" s="22"/>
      <c r="AH108" s="22"/>
      <c r="AI108" s="22"/>
      <c r="AJ108" s="22"/>
      <c r="AK108" s="22"/>
      <c r="AL108" s="22"/>
      <c r="AM108" s="22"/>
      <c r="AN108" s="22"/>
      <c r="AO108" s="22"/>
      <c r="AP108" s="22"/>
      <c r="AQ108" s="22"/>
      <c r="AR108" s="22"/>
      <c r="AS108" s="22"/>
    </row>
    <row r="109" spans="1:45" x14ac:dyDescent="0.3">
      <c r="A109" s="22"/>
      <c r="B109" s="71"/>
      <c r="C109" s="22"/>
      <c r="D109" s="23"/>
      <c r="E109" s="22"/>
      <c r="F109" s="22"/>
      <c r="G109" s="22"/>
      <c r="H109" s="23"/>
      <c r="I109" s="22"/>
      <c r="J109" s="22"/>
      <c r="K109" s="22"/>
      <c r="L109" s="23"/>
      <c r="M109" s="71"/>
      <c r="N109" s="71"/>
      <c r="O109" s="22"/>
      <c r="P109" s="22"/>
      <c r="Q109" s="22"/>
      <c r="R109" s="71"/>
      <c r="S109" s="71"/>
      <c r="T109" s="71"/>
      <c r="U109" s="71"/>
      <c r="V109" s="71"/>
      <c r="W109" s="71"/>
      <c r="X109" s="71"/>
      <c r="Y109" s="71"/>
      <c r="Z109" s="71"/>
      <c r="AA109" s="71"/>
      <c r="AB109" s="71"/>
      <c r="AC109" s="22"/>
      <c r="AD109" s="22"/>
      <c r="AE109" s="22"/>
      <c r="AF109" s="22"/>
      <c r="AG109" s="22"/>
      <c r="AH109" s="22"/>
      <c r="AI109" s="22"/>
      <c r="AJ109" s="22"/>
      <c r="AK109" s="22"/>
      <c r="AL109" s="22"/>
      <c r="AM109" s="22"/>
      <c r="AN109" s="22"/>
      <c r="AO109" s="22"/>
      <c r="AP109" s="22"/>
      <c r="AQ109" s="22"/>
      <c r="AR109" s="22"/>
      <c r="AS109" s="22"/>
    </row>
    <row r="110" spans="1:45" x14ac:dyDescent="0.3">
      <c r="A110" s="22"/>
      <c r="B110" s="71"/>
      <c r="C110" s="22"/>
      <c r="D110" s="23"/>
      <c r="E110" s="22"/>
      <c r="F110" s="22"/>
      <c r="G110" s="22"/>
      <c r="H110" s="23"/>
      <c r="I110" s="22"/>
      <c r="J110" s="22"/>
      <c r="K110" s="22"/>
      <c r="L110" s="23"/>
      <c r="M110" s="71"/>
      <c r="N110" s="71"/>
      <c r="O110" s="22"/>
      <c r="P110" s="22"/>
      <c r="Q110" s="22"/>
      <c r="R110" s="71"/>
      <c r="S110" s="71"/>
      <c r="T110" s="71"/>
      <c r="U110" s="71"/>
      <c r="V110" s="71"/>
      <c r="W110" s="71"/>
      <c r="X110" s="71"/>
      <c r="Y110" s="71"/>
      <c r="Z110" s="71"/>
      <c r="AA110" s="71"/>
      <c r="AB110" s="71"/>
      <c r="AC110" s="22"/>
      <c r="AD110" s="22"/>
      <c r="AE110" s="22"/>
      <c r="AF110" s="22"/>
      <c r="AG110" s="22"/>
      <c r="AH110" s="22"/>
      <c r="AI110" s="22"/>
      <c r="AJ110" s="22"/>
      <c r="AK110" s="22"/>
      <c r="AL110" s="22"/>
      <c r="AM110" s="22"/>
      <c r="AN110" s="22"/>
      <c r="AO110" s="22"/>
      <c r="AP110" s="22"/>
      <c r="AQ110" s="22"/>
      <c r="AR110" s="22"/>
      <c r="AS110" s="22"/>
    </row>
    <row r="111" spans="1:45" x14ac:dyDescent="0.3">
      <c r="A111" s="22"/>
      <c r="B111" s="71"/>
      <c r="C111" s="22"/>
      <c r="D111" s="23"/>
      <c r="E111" s="22"/>
      <c r="F111" s="22"/>
      <c r="G111" s="22"/>
      <c r="H111" s="23"/>
      <c r="I111" s="22"/>
      <c r="J111" s="22"/>
      <c r="K111" s="22"/>
      <c r="L111" s="23"/>
      <c r="M111" s="71"/>
      <c r="N111" s="71"/>
      <c r="O111" s="22"/>
      <c r="P111" s="22"/>
      <c r="Q111" s="22"/>
      <c r="R111" s="71"/>
      <c r="S111" s="71"/>
      <c r="T111" s="71"/>
      <c r="U111" s="71"/>
      <c r="V111" s="71"/>
      <c r="W111" s="71"/>
      <c r="X111" s="71"/>
      <c r="Y111" s="71"/>
      <c r="Z111" s="71"/>
      <c r="AA111" s="71"/>
      <c r="AB111" s="71"/>
      <c r="AC111" s="22"/>
      <c r="AD111" s="22"/>
      <c r="AE111" s="22"/>
      <c r="AF111" s="22"/>
      <c r="AG111" s="22"/>
      <c r="AH111" s="22"/>
      <c r="AI111" s="22"/>
      <c r="AJ111" s="22"/>
      <c r="AK111" s="22"/>
      <c r="AL111" s="22"/>
      <c r="AM111" s="22"/>
      <c r="AN111" s="22"/>
      <c r="AO111" s="22"/>
      <c r="AP111" s="22"/>
      <c r="AQ111" s="22"/>
      <c r="AR111" s="22"/>
      <c r="AS111" s="22"/>
    </row>
    <row r="112" spans="1:45" x14ac:dyDescent="0.3">
      <c r="A112" s="22"/>
      <c r="B112" s="71"/>
      <c r="C112" s="22"/>
      <c r="D112" s="23"/>
      <c r="E112" s="22"/>
      <c r="F112" s="22"/>
      <c r="G112" s="22"/>
      <c r="H112" s="23"/>
      <c r="I112" s="22"/>
      <c r="J112" s="22"/>
      <c r="K112" s="22"/>
      <c r="L112" s="23"/>
      <c r="M112" s="71"/>
      <c r="N112" s="71"/>
      <c r="O112" s="22"/>
      <c r="P112" s="22"/>
      <c r="Q112" s="22"/>
      <c r="R112" s="71"/>
      <c r="S112" s="71"/>
      <c r="T112" s="71"/>
      <c r="U112" s="71"/>
      <c r="V112" s="71"/>
      <c r="W112" s="71"/>
      <c r="X112" s="71"/>
      <c r="Y112" s="71"/>
      <c r="Z112" s="71"/>
      <c r="AA112" s="71"/>
      <c r="AB112" s="71"/>
      <c r="AC112" s="22"/>
      <c r="AD112" s="22"/>
      <c r="AE112" s="22"/>
      <c r="AF112" s="22"/>
      <c r="AG112" s="22"/>
      <c r="AH112" s="22"/>
      <c r="AI112" s="22"/>
      <c r="AJ112" s="22"/>
      <c r="AK112" s="22"/>
      <c r="AL112" s="22"/>
      <c r="AM112" s="22"/>
      <c r="AN112" s="22"/>
      <c r="AO112" s="22"/>
      <c r="AP112" s="22"/>
      <c r="AQ112" s="22"/>
      <c r="AR112" s="22"/>
      <c r="AS112" s="22"/>
    </row>
    <row r="113" spans="1:45" x14ac:dyDescent="0.3">
      <c r="A113" s="22"/>
      <c r="B113" s="71"/>
      <c r="C113" s="22"/>
      <c r="D113" s="23"/>
      <c r="E113" s="22"/>
      <c r="F113" s="22"/>
      <c r="G113" s="22"/>
      <c r="H113" s="23"/>
      <c r="I113" s="22"/>
      <c r="J113" s="22"/>
      <c r="K113" s="22"/>
      <c r="L113" s="23"/>
      <c r="M113" s="71"/>
      <c r="N113" s="71"/>
      <c r="O113" s="22"/>
      <c r="P113" s="22"/>
      <c r="Q113" s="22"/>
      <c r="R113" s="71"/>
      <c r="S113" s="71"/>
      <c r="T113" s="71"/>
      <c r="U113" s="71"/>
      <c r="V113" s="71"/>
      <c r="W113" s="71"/>
      <c r="X113" s="71"/>
      <c r="Y113" s="71"/>
      <c r="Z113" s="71"/>
      <c r="AA113" s="71"/>
      <c r="AB113" s="71"/>
      <c r="AC113" s="22"/>
      <c r="AD113" s="22"/>
      <c r="AE113" s="22"/>
      <c r="AF113" s="22"/>
      <c r="AG113" s="22"/>
      <c r="AH113" s="22"/>
      <c r="AI113" s="22"/>
      <c r="AJ113" s="22"/>
      <c r="AK113" s="22"/>
      <c r="AL113" s="22"/>
      <c r="AM113" s="22"/>
      <c r="AN113" s="22"/>
      <c r="AO113" s="22"/>
      <c r="AP113" s="22"/>
      <c r="AQ113" s="22"/>
      <c r="AR113" s="22"/>
      <c r="AS113" s="22"/>
    </row>
    <row r="114" spans="1:45" x14ac:dyDescent="0.3">
      <c r="A114" s="22"/>
      <c r="B114" s="71"/>
      <c r="C114" s="22"/>
      <c r="D114" s="23"/>
      <c r="E114" s="22"/>
      <c r="F114" s="22"/>
      <c r="G114" s="22"/>
      <c r="H114" s="23"/>
      <c r="I114" s="22"/>
      <c r="J114" s="22"/>
      <c r="K114" s="22"/>
      <c r="L114" s="23"/>
      <c r="M114" s="71"/>
      <c r="N114" s="71"/>
      <c r="O114" s="22"/>
      <c r="P114" s="22"/>
      <c r="Q114" s="22"/>
      <c r="R114" s="71"/>
      <c r="S114" s="71"/>
      <c r="T114" s="71"/>
      <c r="U114" s="71"/>
      <c r="V114" s="71"/>
      <c r="W114" s="71"/>
      <c r="X114" s="71"/>
      <c r="Y114" s="71"/>
      <c r="Z114" s="71"/>
      <c r="AA114" s="71"/>
      <c r="AB114" s="71"/>
      <c r="AC114" s="22"/>
      <c r="AD114" s="22"/>
      <c r="AE114" s="22"/>
      <c r="AF114" s="22"/>
      <c r="AG114" s="22"/>
      <c r="AH114" s="22"/>
      <c r="AI114" s="22"/>
      <c r="AJ114" s="22"/>
      <c r="AK114" s="22"/>
      <c r="AL114" s="22"/>
      <c r="AM114" s="22"/>
      <c r="AN114" s="22"/>
      <c r="AO114" s="22"/>
      <c r="AP114" s="22"/>
      <c r="AQ114" s="22"/>
      <c r="AR114" s="22"/>
      <c r="AS114" s="22"/>
    </row>
    <row r="115" spans="1:45" x14ac:dyDescent="0.3">
      <c r="A115" s="22"/>
      <c r="B115" s="71"/>
      <c r="C115" s="22"/>
      <c r="D115" s="23"/>
      <c r="E115" s="22"/>
      <c r="F115" s="22"/>
      <c r="G115" s="22"/>
      <c r="H115" s="23"/>
      <c r="I115" s="22"/>
      <c r="J115" s="22"/>
      <c r="K115" s="22"/>
      <c r="L115" s="23"/>
      <c r="M115" s="71"/>
      <c r="N115" s="71"/>
      <c r="O115" s="22"/>
      <c r="P115" s="22"/>
      <c r="Q115" s="22"/>
      <c r="R115" s="71"/>
      <c r="S115" s="71"/>
      <c r="T115" s="71"/>
      <c r="U115" s="71"/>
      <c r="V115" s="71"/>
      <c r="W115" s="71"/>
      <c r="X115" s="71"/>
      <c r="Y115" s="71"/>
      <c r="Z115" s="71"/>
      <c r="AA115" s="71"/>
      <c r="AB115" s="71"/>
      <c r="AC115" s="22"/>
      <c r="AD115" s="22"/>
      <c r="AE115" s="22"/>
      <c r="AF115" s="22"/>
      <c r="AG115" s="22"/>
      <c r="AH115" s="22"/>
      <c r="AI115" s="22"/>
      <c r="AJ115" s="22"/>
      <c r="AK115" s="22"/>
      <c r="AL115" s="22"/>
      <c r="AM115" s="22"/>
      <c r="AN115" s="22"/>
      <c r="AO115" s="22"/>
      <c r="AP115" s="22"/>
      <c r="AQ115" s="22"/>
      <c r="AR115" s="22"/>
      <c r="AS115" s="22"/>
    </row>
    <row r="116" spans="1:45" x14ac:dyDescent="0.3">
      <c r="A116" s="22"/>
      <c r="B116" s="71"/>
      <c r="C116" s="22"/>
      <c r="D116" s="23"/>
      <c r="E116" s="22"/>
      <c r="F116" s="22"/>
      <c r="G116" s="22"/>
      <c r="H116" s="23"/>
      <c r="I116" s="22"/>
      <c r="J116" s="22"/>
      <c r="K116" s="22"/>
      <c r="L116" s="23"/>
      <c r="M116" s="71"/>
      <c r="N116" s="71"/>
      <c r="O116" s="22"/>
      <c r="P116" s="22"/>
      <c r="Q116" s="22"/>
      <c r="R116" s="71"/>
      <c r="S116" s="71"/>
      <c r="T116" s="71"/>
      <c r="U116" s="71"/>
      <c r="V116" s="71"/>
      <c r="W116" s="71"/>
      <c r="X116" s="71"/>
      <c r="Y116" s="71"/>
      <c r="Z116" s="71"/>
      <c r="AA116" s="71"/>
      <c r="AB116" s="71"/>
      <c r="AC116" s="22"/>
      <c r="AD116" s="22"/>
      <c r="AE116" s="22"/>
      <c r="AF116" s="22"/>
      <c r="AG116" s="22"/>
      <c r="AH116" s="22"/>
      <c r="AI116" s="22"/>
      <c r="AJ116" s="22"/>
      <c r="AK116" s="22"/>
      <c r="AL116" s="22"/>
      <c r="AM116" s="22"/>
      <c r="AN116" s="22"/>
      <c r="AO116" s="22"/>
      <c r="AP116" s="22"/>
      <c r="AQ116" s="22"/>
      <c r="AR116" s="22"/>
      <c r="AS116" s="22"/>
    </row>
    <row r="117" spans="1:45" x14ac:dyDescent="0.3">
      <c r="A117" s="22"/>
      <c r="B117" s="71"/>
      <c r="C117" s="22"/>
      <c r="D117" s="23"/>
      <c r="E117" s="22"/>
      <c r="F117" s="22"/>
      <c r="G117" s="22"/>
      <c r="H117" s="23"/>
      <c r="I117" s="22"/>
      <c r="J117" s="22"/>
      <c r="K117" s="22"/>
      <c r="L117" s="23"/>
      <c r="M117" s="71"/>
      <c r="N117" s="71"/>
      <c r="O117" s="22"/>
      <c r="P117" s="22"/>
      <c r="Q117" s="22"/>
      <c r="R117" s="71"/>
      <c r="S117" s="71"/>
      <c r="T117" s="71"/>
      <c r="U117" s="71"/>
      <c r="V117" s="71"/>
      <c r="W117" s="71"/>
      <c r="X117" s="71"/>
      <c r="Y117" s="71"/>
      <c r="Z117" s="71"/>
      <c r="AA117" s="71"/>
      <c r="AB117" s="71"/>
      <c r="AC117" s="22"/>
      <c r="AD117" s="22"/>
      <c r="AE117" s="22"/>
      <c r="AF117" s="22"/>
      <c r="AG117" s="22"/>
      <c r="AH117" s="22"/>
      <c r="AI117" s="22"/>
      <c r="AJ117" s="22"/>
      <c r="AK117" s="22"/>
      <c r="AL117" s="22"/>
      <c r="AM117" s="22"/>
      <c r="AN117" s="22"/>
      <c r="AO117" s="22"/>
      <c r="AP117" s="22"/>
      <c r="AQ117" s="22"/>
      <c r="AR117" s="22"/>
      <c r="AS117" s="22"/>
    </row>
    <row r="118" spans="1:45" x14ac:dyDescent="0.3">
      <c r="A118" s="22"/>
      <c r="B118" s="71"/>
      <c r="C118" s="22"/>
      <c r="D118" s="23"/>
      <c r="E118" s="22"/>
      <c r="F118" s="22"/>
      <c r="G118" s="22"/>
      <c r="H118" s="23"/>
      <c r="I118" s="22"/>
      <c r="J118" s="22"/>
      <c r="K118" s="22"/>
      <c r="L118" s="23"/>
      <c r="M118" s="71"/>
      <c r="N118" s="71"/>
      <c r="O118" s="22"/>
      <c r="P118" s="22"/>
      <c r="Q118" s="22"/>
      <c r="R118" s="71"/>
      <c r="S118" s="71"/>
      <c r="T118" s="71"/>
      <c r="U118" s="71"/>
      <c r="V118" s="71"/>
      <c r="W118" s="71"/>
      <c r="X118" s="71"/>
      <c r="Y118" s="71"/>
      <c r="Z118" s="71"/>
      <c r="AA118" s="71"/>
      <c r="AB118" s="71"/>
      <c r="AC118" s="22"/>
      <c r="AD118" s="22"/>
      <c r="AE118" s="22"/>
      <c r="AF118" s="22"/>
      <c r="AG118" s="22"/>
      <c r="AH118" s="22"/>
      <c r="AI118" s="22"/>
      <c r="AJ118" s="22"/>
      <c r="AK118" s="22"/>
      <c r="AL118" s="22"/>
      <c r="AM118" s="22"/>
      <c r="AN118" s="22"/>
      <c r="AO118" s="22"/>
      <c r="AP118" s="22"/>
      <c r="AQ118" s="22"/>
      <c r="AR118" s="22"/>
      <c r="AS118" s="22"/>
    </row>
    <row r="119" spans="1:45" x14ac:dyDescent="0.3">
      <c r="A119" s="22"/>
      <c r="B119" s="71"/>
      <c r="C119" s="22"/>
      <c r="D119" s="23"/>
      <c r="E119" s="22"/>
      <c r="F119" s="22"/>
      <c r="G119" s="22"/>
      <c r="H119" s="23"/>
      <c r="I119" s="22"/>
      <c r="J119" s="22"/>
      <c r="K119" s="22"/>
      <c r="L119" s="23"/>
      <c r="M119" s="71"/>
      <c r="N119" s="71"/>
      <c r="O119" s="22"/>
      <c r="P119" s="22"/>
      <c r="Q119" s="22"/>
      <c r="R119" s="71"/>
      <c r="S119" s="71"/>
      <c r="T119" s="71"/>
      <c r="U119" s="71"/>
      <c r="V119" s="71"/>
      <c r="W119" s="71"/>
      <c r="X119" s="71"/>
      <c r="Y119" s="71"/>
      <c r="Z119" s="71"/>
      <c r="AA119" s="71"/>
      <c r="AB119" s="71"/>
      <c r="AC119" s="22"/>
      <c r="AD119" s="22"/>
      <c r="AE119" s="22"/>
      <c r="AF119" s="22"/>
      <c r="AG119" s="22"/>
      <c r="AH119" s="22"/>
      <c r="AI119" s="22"/>
      <c r="AJ119" s="22"/>
      <c r="AK119" s="22"/>
      <c r="AL119" s="22"/>
      <c r="AM119" s="22"/>
      <c r="AN119" s="22"/>
      <c r="AO119" s="22"/>
      <c r="AP119" s="22"/>
      <c r="AQ119" s="22"/>
      <c r="AR119" s="22"/>
      <c r="AS119" s="22"/>
    </row>
    <row r="120" spans="1:45" x14ac:dyDescent="0.3">
      <c r="A120" s="22"/>
      <c r="B120" s="71"/>
      <c r="C120" s="22"/>
      <c r="D120" s="23"/>
      <c r="E120" s="22"/>
      <c r="F120" s="22"/>
      <c r="G120" s="22"/>
      <c r="H120" s="23"/>
      <c r="I120" s="22"/>
      <c r="J120" s="22"/>
      <c r="K120" s="22"/>
      <c r="L120" s="23"/>
      <c r="M120" s="71"/>
      <c r="N120" s="71"/>
      <c r="O120" s="22"/>
      <c r="P120" s="22"/>
      <c r="Q120" s="22"/>
      <c r="R120" s="71"/>
      <c r="S120" s="71"/>
      <c r="T120" s="71"/>
      <c r="U120" s="71"/>
      <c r="V120" s="71"/>
      <c r="W120" s="71"/>
      <c r="X120" s="71"/>
      <c r="Y120" s="71"/>
      <c r="Z120" s="71"/>
      <c r="AA120" s="71"/>
      <c r="AB120" s="71"/>
      <c r="AC120" s="22"/>
      <c r="AD120" s="22"/>
      <c r="AE120" s="22"/>
      <c r="AF120" s="22"/>
      <c r="AG120" s="22"/>
      <c r="AH120" s="22"/>
      <c r="AI120" s="22"/>
      <c r="AJ120" s="22"/>
      <c r="AK120" s="22"/>
      <c r="AL120" s="22"/>
      <c r="AM120" s="22"/>
      <c r="AN120" s="22"/>
      <c r="AO120" s="22"/>
      <c r="AP120" s="22"/>
      <c r="AQ120" s="22"/>
      <c r="AR120" s="22"/>
      <c r="AS120" s="22"/>
    </row>
    <row r="121" spans="1:45" x14ac:dyDescent="0.3">
      <c r="A121" s="22"/>
      <c r="B121" s="71"/>
      <c r="C121" s="22"/>
      <c r="D121" s="23"/>
      <c r="E121" s="22"/>
      <c r="F121" s="22"/>
      <c r="G121" s="22"/>
      <c r="H121" s="23"/>
      <c r="I121" s="22"/>
      <c r="J121" s="22"/>
      <c r="K121" s="22"/>
      <c r="L121" s="23"/>
      <c r="M121" s="71"/>
      <c r="N121" s="71"/>
      <c r="O121" s="22"/>
      <c r="P121" s="22"/>
      <c r="Q121" s="22"/>
      <c r="R121" s="71"/>
      <c r="S121" s="71"/>
      <c r="T121" s="71"/>
      <c r="U121" s="71"/>
      <c r="V121" s="71"/>
      <c r="W121" s="71"/>
      <c r="X121" s="71"/>
      <c r="Y121" s="71"/>
      <c r="Z121" s="71"/>
      <c r="AA121" s="71"/>
      <c r="AB121" s="71"/>
      <c r="AC121" s="22"/>
      <c r="AD121" s="22"/>
      <c r="AE121" s="22"/>
      <c r="AF121" s="22"/>
      <c r="AG121" s="22"/>
      <c r="AH121" s="22"/>
      <c r="AI121" s="22"/>
      <c r="AJ121" s="22"/>
      <c r="AK121" s="22"/>
      <c r="AL121" s="22"/>
      <c r="AM121" s="22"/>
      <c r="AN121" s="22"/>
      <c r="AO121" s="22"/>
      <c r="AP121" s="22"/>
      <c r="AQ121" s="22"/>
      <c r="AR121" s="22"/>
      <c r="AS121" s="22"/>
    </row>
    <row r="122" spans="1:45" x14ac:dyDescent="0.3">
      <c r="A122" s="22"/>
      <c r="B122" s="71"/>
      <c r="C122" s="22"/>
      <c r="D122" s="23"/>
      <c r="E122" s="22"/>
      <c r="F122" s="22"/>
      <c r="G122" s="22"/>
      <c r="H122" s="23"/>
      <c r="I122" s="22"/>
      <c r="J122" s="22"/>
      <c r="K122" s="22"/>
      <c r="L122" s="23"/>
      <c r="M122" s="71"/>
      <c r="N122" s="71"/>
      <c r="O122" s="22"/>
      <c r="P122" s="22"/>
      <c r="Q122" s="22"/>
      <c r="R122" s="71"/>
      <c r="S122" s="71"/>
      <c r="T122" s="71"/>
      <c r="U122" s="71"/>
      <c r="V122" s="71"/>
      <c r="W122" s="71"/>
      <c r="X122" s="71"/>
      <c r="Y122" s="71"/>
      <c r="Z122" s="71"/>
      <c r="AA122" s="71"/>
      <c r="AB122" s="71"/>
      <c r="AC122" s="22"/>
      <c r="AD122" s="22"/>
      <c r="AE122" s="22"/>
      <c r="AF122" s="22"/>
      <c r="AG122" s="22"/>
      <c r="AH122" s="22"/>
      <c r="AI122" s="22"/>
      <c r="AJ122" s="22"/>
      <c r="AK122" s="22"/>
      <c r="AL122" s="22"/>
      <c r="AM122" s="22"/>
      <c r="AN122" s="22"/>
      <c r="AO122" s="22"/>
      <c r="AP122" s="22"/>
      <c r="AQ122" s="22"/>
      <c r="AR122" s="22"/>
      <c r="AS122" s="22"/>
    </row>
    <row r="123" spans="1:45" x14ac:dyDescent="0.3">
      <c r="A123" s="22"/>
      <c r="B123" s="71"/>
      <c r="C123" s="22"/>
      <c r="D123" s="23"/>
      <c r="E123" s="22"/>
      <c r="F123" s="22"/>
      <c r="G123" s="22"/>
      <c r="H123" s="23"/>
      <c r="I123" s="22"/>
      <c r="J123" s="22"/>
      <c r="K123" s="22"/>
      <c r="L123" s="23"/>
      <c r="M123" s="71"/>
      <c r="N123" s="71"/>
      <c r="O123" s="22"/>
      <c r="P123" s="22"/>
      <c r="Q123" s="22"/>
      <c r="R123" s="71"/>
      <c r="S123" s="71"/>
      <c r="T123" s="71"/>
      <c r="U123" s="71"/>
      <c r="V123" s="71"/>
      <c r="W123" s="71"/>
      <c r="X123" s="71"/>
      <c r="Y123" s="71"/>
      <c r="Z123" s="71"/>
      <c r="AA123" s="71"/>
      <c r="AB123" s="71"/>
      <c r="AC123" s="22"/>
      <c r="AD123" s="22"/>
      <c r="AE123" s="22"/>
      <c r="AF123" s="22"/>
      <c r="AG123" s="22"/>
      <c r="AH123" s="22"/>
      <c r="AI123" s="22"/>
      <c r="AJ123" s="22"/>
      <c r="AK123" s="22"/>
      <c r="AL123" s="22"/>
      <c r="AM123" s="22"/>
      <c r="AN123" s="22"/>
      <c r="AO123" s="22"/>
      <c r="AP123" s="22"/>
      <c r="AQ123" s="22"/>
      <c r="AR123" s="22"/>
      <c r="AS123" s="22"/>
    </row>
    <row r="124" spans="1:45" x14ac:dyDescent="0.3">
      <c r="A124" s="22"/>
      <c r="B124" s="71"/>
      <c r="C124" s="22"/>
      <c r="D124" s="23"/>
      <c r="E124" s="22"/>
      <c r="F124" s="22"/>
      <c r="G124" s="22"/>
      <c r="H124" s="23"/>
      <c r="I124" s="22"/>
      <c r="J124" s="22"/>
      <c r="K124" s="22"/>
      <c r="L124" s="23"/>
      <c r="M124" s="71"/>
      <c r="N124" s="71"/>
      <c r="O124" s="22"/>
      <c r="P124" s="22"/>
      <c r="Q124" s="22"/>
      <c r="R124" s="71"/>
      <c r="S124" s="71"/>
      <c r="T124" s="71"/>
      <c r="U124" s="71"/>
      <c r="V124" s="71"/>
      <c r="W124" s="71"/>
      <c r="X124" s="71"/>
      <c r="Y124" s="71"/>
      <c r="Z124" s="71"/>
      <c r="AA124" s="71"/>
      <c r="AB124" s="71"/>
      <c r="AC124" s="22"/>
      <c r="AD124" s="22"/>
      <c r="AE124" s="22"/>
      <c r="AF124" s="22"/>
      <c r="AG124" s="22"/>
      <c r="AH124" s="22"/>
      <c r="AI124" s="22"/>
      <c r="AJ124" s="22"/>
      <c r="AK124" s="22"/>
      <c r="AL124" s="22"/>
      <c r="AM124" s="22"/>
      <c r="AN124" s="22"/>
      <c r="AO124" s="22"/>
      <c r="AP124" s="22"/>
      <c r="AQ124" s="22"/>
      <c r="AR124" s="22"/>
      <c r="AS124" s="22"/>
    </row>
    <row r="125" spans="1:45" x14ac:dyDescent="0.3">
      <c r="A125" s="22"/>
      <c r="B125" s="71"/>
      <c r="C125" s="22"/>
      <c r="D125" s="23"/>
      <c r="E125" s="22"/>
      <c r="F125" s="22"/>
      <c r="G125" s="22"/>
      <c r="H125" s="23"/>
      <c r="I125" s="22"/>
      <c r="J125" s="22"/>
      <c r="K125" s="22"/>
      <c r="L125" s="23"/>
      <c r="M125" s="71"/>
      <c r="N125" s="71"/>
      <c r="O125" s="22"/>
      <c r="P125" s="22"/>
      <c r="Q125" s="22"/>
      <c r="R125" s="71"/>
      <c r="S125" s="71"/>
      <c r="T125" s="71"/>
      <c r="U125" s="71"/>
      <c r="V125" s="71"/>
      <c r="W125" s="71"/>
      <c r="X125" s="71"/>
      <c r="Y125" s="71"/>
      <c r="Z125" s="71"/>
      <c r="AA125" s="71"/>
      <c r="AB125" s="71"/>
      <c r="AC125" s="22"/>
      <c r="AD125" s="22"/>
      <c r="AE125" s="22"/>
      <c r="AF125" s="22"/>
      <c r="AG125" s="22"/>
      <c r="AH125" s="22"/>
      <c r="AI125" s="22"/>
      <c r="AJ125" s="22"/>
      <c r="AK125" s="22"/>
      <c r="AL125" s="22"/>
      <c r="AM125" s="22"/>
      <c r="AN125" s="22"/>
      <c r="AO125" s="22"/>
      <c r="AP125" s="22"/>
      <c r="AQ125" s="22"/>
      <c r="AR125" s="22"/>
      <c r="AS125" s="22"/>
    </row>
    <row r="126" spans="1:45" x14ac:dyDescent="0.3">
      <c r="A126" s="22"/>
      <c r="B126" s="71"/>
      <c r="C126" s="22"/>
      <c r="D126" s="23"/>
      <c r="E126" s="22"/>
      <c r="F126" s="22"/>
      <c r="G126" s="22"/>
      <c r="H126" s="23"/>
      <c r="I126" s="22"/>
      <c r="J126" s="22"/>
      <c r="K126" s="22"/>
      <c r="L126" s="23"/>
      <c r="M126" s="71"/>
      <c r="N126" s="71"/>
      <c r="O126" s="22"/>
      <c r="P126" s="22"/>
      <c r="Q126" s="22"/>
      <c r="R126" s="71"/>
      <c r="S126" s="71"/>
      <c r="T126" s="71"/>
      <c r="U126" s="71"/>
      <c r="V126" s="71"/>
      <c r="W126" s="71"/>
      <c r="X126" s="71"/>
      <c r="Y126" s="71"/>
      <c r="Z126" s="71"/>
      <c r="AA126" s="71"/>
      <c r="AB126" s="71"/>
      <c r="AC126" s="22"/>
      <c r="AD126" s="22"/>
      <c r="AE126" s="22"/>
      <c r="AF126" s="22"/>
      <c r="AG126" s="22"/>
      <c r="AH126" s="22"/>
      <c r="AI126" s="22"/>
      <c r="AJ126" s="22"/>
      <c r="AK126" s="22"/>
      <c r="AL126" s="22"/>
      <c r="AM126" s="22"/>
      <c r="AN126" s="22"/>
      <c r="AO126" s="22"/>
      <c r="AP126" s="22"/>
      <c r="AQ126" s="22"/>
      <c r="AR126" s="22"/>
      <c r="AS126" s="22"/>
    </row>
    <row r="127" spans="1:45" x14ac:dyDescent="0.3">
      <c r="A127" s="22"/>
      <c r="B127" s="71"/>
      <c r="C127" s="22"/>
      <c r="D127" s="23"/>
      <c r="E127" s="22"/>
      <c r="F127" s="22"/>
      <c r="G127" s="22"/>
      <c r="H127" s="23"/>
      <c r="I127" s="22"/>
      <c r="J127" s="22"/>
      <c r="K127" s="22"/>
      <c r="L127" s="23"/>
      <c r="M127" s="71"/>
      <c r="N127" s="71"/>
      <c r="O127" s="22"/>
      <c r="P127" s="22"/>
      <c r="Q127" s="22"/>
      <c r="R127" s="71"/>
      <c r="S127" s="71"/>
      <c r="T127" s="71"/>
      <c r="U127" s="71"/>
      <c r="V127" s="71"/>
      <c r="W127" s="71"/>
      <c r="X127" s="71"/>
      <c r="Y127" s="71"/>
      <c r="Z127" s="71"/>
      <c r="AA127" s="71"/>
      <c r="AB127" s="71"/>
      <c r="AC127" s="22"/>
      <c r="AD127" s="22"/>
      <c r="AE127" s="22"/>
      <c r="AF127" s="22"/>
      <c r="AG127" s="22"/>
      <c r="AH127" s="22"/>
      <c r="AI127" s="22"/>
      <c r="AJ127" s="22"/>
      <c r="AK127" s="22"/>
      <c r="AL127" s="22"/>
      <c r="AM127" s="22"/>
      <c r="AN127" s="22"/>
      <c r="AO127" s="22"/>
      <c r="AP127" s="22"/>
      <c r="AQ127" s="22"/>
      <c r="AR127" s="22"/>
      <c r="AS127" s="22"/>
    </row>
    <row r="128" spans="1:45" x14ac:dyDescent="0.3">
      <c r="A128" s="22"/>
      <c r="B128" s="71"/>
      <c r="C128" s="22"/>
      <c r="D128" s="23"/>
      <c r="E128" s="22"/>
      <c r="F128" s="22"/>
      <c r="G128" s="22"/>
      <c r="H128" s="23"/>
      <c r="I128" s="22"/>
      <c r="J128" s="22"/>
      <c r="K128" s="22"/>
      <c r="L128" s="23"/>
      <c r="M128" s="71"/>
      <c r="N128" s="71"/>
      <c r="O128" s="22"/>
      <c r="P128" s="22"/>
      <c r="Q128" s="22"/>
      <c r="R128" s="71"/>
      <c r="S128" s="71"/>
      <c r="T128" s="71"/>
      <c r="U128" s="71"/>
      <c r="V128" s="71"/>
      <c r="W128" s="71"/>
      <c r="X128" s="71"/>
      <c r="Y128" s="71"/>
      <c r="Z128" s="71"/>
      <c r="AA128" s="71"/>
      <c r="AB128" s="71"/>
      <c r="AC128" s="22"/>
      <c r="AD128" s="22"/>
      <c r="AE128" s="22"/>
      <c r="AF128" s="22"/>
      <c r="AG128" s="22"/>
      <c r="AH128" s="22"/>
      <c r="AI128" s="22"/>
      <c r="AJ128" s="22"/>
      <c r="AK128" s="22"/>
      <c r="AL128" s="22"/>
      <c r="AM128" s="22"/>
      <c r="AN128" s="22"/>
      <c r="AO128" s="22"/>
      <c r="AP128" s="22"/>
      <c r="AQ128" s="22"/>
      <c r="AR128" s="22"/>
      <c r="AS128" s="22"/>
    </row>
    <row r="129" spans="1:45" x14ac:dyDescent="0.3">
      <c r="A129" s="22"/>
      <c r="B129" s="71"/>
      <c r="C129" s="22"/>
      <c r="D129" s="23"/>
      <c r="E129" s="22"/>
      <c r="F129" s="22"/>
      <c r="G129" s="22"/>
      <c r="H129" s="23"/>
      <c r="I129" s="22"/>
      <c r="J129" s="22"/>
      <c r="K129" s="22"/>
      <c r="L129" s="23"/>
      <c r="M129" s="71"/>
      <c r="N129" s="71"/>
      <c r="O129" s="22"/>
      <c r="P129" s="22"/>
      <c r="Q129" s="22"/>
      <c r="R129" s="71"/>
      <c r="S129" s="71"/>
      <c r="T129" s="71"/>
      <c r="U129" s="71"/>
      <c r="V129" s="71"/>
      <c r="W129" s="71"/>
      <c r="X129" s="71"/>
      <c r="Y129" s="71"/>
      <c r="Z129" s="71"/>
      <c r="AA129" s="71"/>
      <c r="AB129" s="71"/>
      <c r="AC129" s="22"/>
      <c r="AD129" s="22"/>
      <c r="AE129" s="22"/>
      <c r="AF129" s="22"/>
      <c r="AG129" s="22"/>
      <c r="AH129" s="22"/>
      <c r="AI129" s="22"/>
      <c r="AJ129" s="22"/>
      <c r="AK129" s="22"/>
      <c r="AL129" s="22"/>
      <c r="AM129" s="22"/>
      <c r="AN129" s="22"/>
      <c r="AO129" s="22"/>
      <c r="AP129" s="22"/>
      <c r="AQ129" s="22"/>
      <c r="AR129" s="22"/>
      <c r="AS129" s="22"/>
    </row>
    <row r="130" spans="1:45" x14ac:dyDescent="0.3">
      <c r="A130" s="22"/>
      <c r="B130" s="71"/>
      <c r="C130" s="22"/>
      <c r="D130" s="23"/>
      <c r="E130" s="22"/>
      <c r="F130" s="22"/>
      <c r="G130" s="22"/>
      <c r="H130" s="23"/>
      <c r="I130" s="22"/>
      <c r="J130" s="22"/>
      <c r="K130" s="22"/>
      <c r="L130" s="23"/>
      <c r="M130" s="71"/>
      <c r="N130" s="71"/>
      <c r="O130" s="22"/>
      <c r="P130" s="22"/>
      <c r="Q130" s="22"/>
      <c r="R130" s="71"/>
      <c r="S130" s="71"/>
      <c r="T130" s="71"/>
      <c r="U130" s="71"/>
      <c r="V130" s="71"/>
      <c r="W130" s="71"/>
      <c r="X130" s="71"/>
      <c r="Y130" s="71"/>
      <c r="Z130" s="71"/>
      <c r="AA130" s="71"/>
      <c r="AB130" s="71"/>
      <c r="AC130" s="22"/>
      <c r="AD130" s="22"/>
      <c r="AE130" s="22"/>
      <c r="AF130" s="22"/>
      <c r="AG130" s="22"/>
      <c r="AH130" s="22"/>
      <c r="AI130" s="22"/>
      <c r="AJ130" s="22"/>
      <c r="AK130" s="22"/>
      <c r="AL130" s="22"/>
      <c r="AM130" s="22"/>
      <c r="AN130" s="22"/>
      <c r="AO130" s="22"/>
      <c r="AP130" s="22"/>
      <c r="AQ130" s="22"/>
      <c r="AR130" s="22"/>
      <c r="AS130" s="22"/>
    </row>
    <row r="131" spans="1:45" x14ac:dyDescent="0.3">
      <c r="A131" s="22"/>
      <c r="B131" s="71"/>
      <c r="C131" s="22"/>
      <c r="D131" s="23"/>
      <c r="E131" s="22"/>
      <c r="F131" s="22"/>
      <c r="G131" s="22"/>
      <c r="H131" s="23"/>
      <c r="I131" s="22"/>
      <c r="J131" s="22"/>
      <c r="K131" s="22"/>
      <c r="L131" s="23"/>
      <c r="M131" s="71"/>
      <c r="N131" s="71"/>
      <c r="O131" s="22"/>
      <c r="P131" s="22"/>
      <c r="Q131" s="22"/>
      <c r="R131" s="71"/>
      <c r="S131" s="71"/>
      <c r="T131" s="71"/>
      <c r="U131" s="71"/>
      <c r="V131" s="71"/>
      <c r="W131" s="71"/>
      <c r="X131" s="71"/>
      <c r="Y131" s="71"/>
      <c r="Z131" s="71"/>
      <c r="AA131" s="71"/>
      <c r="AB131" s="71"/>
      <c r="AC131" s="22"/>
      <c r="AD131" s="22"/>
      <c r="AE131" s="22"/>
      <c r="AF131" s="22"/>
      <c r="AG131" s="22"/>
      <c r="AH131" s="22"/>
      <c r="AI131" s="22"/>
      <c r="AJ131" s="22"/>
      <c r="AK131" s="22"/>
      <c r="AL131" s="22"/>
      <c r="AM131" s="22"/>
      <c r="AN131" s="22"/>
      <c r="AO131" s="22"/>
      <c r="AP131" s="22"/>
      <c r="AQ131" s="22"/>
      <c r="AR131" s="22"/>
      <c r="AS131" s="22"/>
    </row>
    <row r="132" spans="1:45" x14ac:dyDescent="0.3">
      <c r="A132" s="22"/>
      <c r="B132" s="71"/>
      <c r="C132" s="22"/>
      <c r="D132" s="23"/>
      <c r="E132" s="22"/>
      <c r="F132" s="22"/>
      <c r="G132" s="22"/>
      <c r="H132" s="23"/>
      <c r="I132" s="22"/>
      <c r="J132" s="22"/>
      <c r="K132" s="22"/>
      <c r="L132" s="23"/>
      <c r="M132" s="71"/>
      <c r="N132" s="71"/>
      <c r="O132" s="22"/>
      <c r="P132" s="22"/>
      <c r="Q132" s="22"/>
      <c r="R132" s="71"/>
      <c r="S132" s="71"/>
      <c r="T132" s="71"/>
      <c r="U132" s="71"/>
      <c r="V132" s="71"/>
      <c r="W132" s="71"/>
      <c r="X132" s="71"/>
      <c r="Y132" s="71"/>
      <c r="Z132" s="71"/>
      <c r="AA132" s="71"/>
      <c r="AB132" s="71"/>
      <c r="AC132" s="22"/>
      <c r="AD132" s="22"/>
      <c r="AE132" s="22"/>
      <c r="AF132" s="22"/>
      <c r="AG132" s="22"/>
      <c r="AH132" s="22"/>
      <c r="AI132" s="22"/>
      <c r="AJ132" s="22"/>
      <c r="AK132" s="22"/>
      <c r="AL132" s="22"/>
      <c r="AM132" s="22"/>
      <c r="AN132" s="22"/>
      <c r="AO132" s="22"/>
      <c r="AP132" s="22"/>
      <c r="AQ132" s="22"/>
      <c r="AR132" s="22"/>
      <c r="AS132" s="22"/>
    </row>
    <row r="133" spans="1:45" x14ac:dyDescent="0.3">
      <c r="A133" s="22"/>
      <c r="B133" s="71"/>
      <c r="C133" s="22"/>
      <c r="D133" s="23"/>
      <c r="E133" s="22"/>
      <c r="F133" s="22"/>
      <c r="G133" s="22"/>
      <c r="H133" s="23"/>
      <c r="I133" s="22"/>
      <c r="J133" s="22"/>
      <c r="K133" s="22"/>
      <c r="L133" s="23"/>
      <c r="M133" s="71"/>
      <c r="N133" s="71"/>
      <c r="O133" s="22"/>
      <c r="P133" s="22"/>
      <c r="Q133" s="22"/>
      <c r="R133" s="71"/>
      <c r="S133" s="71"/>
      <c r="T133" s="71"/>
      <c r="U133" s="71"/>
      <c r="V133" s="71"/>
      <c r="W133" s="71"/>
      <c r="X133" s="71"/>
      <c r="Y133" s="71"/>
      <c r="Z133" s="71"/>
      <c r="AA133" s="71"/>
      <c r="AB133" s="71"/>
      <c r="AC133" s="22"/>
      <c r="AD133" s="22"/>
      <c r="AE133" s="22"/>
      <c r="AF133" s="22"/>
      <c r="AG133" s="22"/>
      <c r="AH133" s="22"/>
      <c r="AI133" s="22"/>
      <c r="AJ133" s="22"/>
      <c r="AK133" s="22"/>
      <c r="AL133" s="22"/>
      <c r="AM133" s="22"/>
      <c r="AN133" s="22"/>
      <c r="AO133" s="22"/>
      <c r="AP133" s="22"/>
      <c r="AQ133" s="22"/>
      <c r="AR133" s="22"/>
      <c r="AS133" s="22"/>
    </row>
    <row r="134" spans="1:45" x14ac:dyDescent="0.3">
      <c r="A134" s="22"/>
      <c r="B134" s="71"/>
      <c r="C134" s="22"/>
      <c r="D134" s="23"/>
      <c r="E134" s="22"/>
      <c r="F134" s="22"/>
      <c r="G134" s="22"/>
      <c r="H134" s="23"/>
      <c r="I134" s="22"/>
      <c r="J134" s="22"/>
      <c r="K134" s="22"/>
      <c r="L134" s="23"/>
      <c r="M134" s="71"/>
      <c r="N134" s="71"/>
      <c r="O134" s="22"/>
      <c r="P134" s="22"/>
      <c r="Q134" s="22"/>
      <c r="R134" s="71"/>
      <c r="S134" s="71"/>
      <c r="T134" s="71"/>
      <c r="U134" s="71"/>
      <c r="V134" s="71"/>
      <c r="W134" s="71"/>
      <c r="X134" s="71"/>
      <c r="Y134" s="71"/>
      <c r="Z134" s="71"/>
      <c r="AA134" s="71"/>
      <c r="AB134" s="71"/>
      <c r="AC134" s="22"/>
      <c r="AD134" s="22"/>
      <c r="AE134" s="22"/>
      <c r="AF134" s="22"/>
      <c r="AG134" s="22"/>
      <c r="AH134" s="22"/>
      <c r="AI134" s="22"/>
      <c r="AJ134" s="22"/>
      <c r="AK134" s="22"/>
      <c r="AL134" s="22"/>
      <c r="AM134" s="22"/>
      <c r="AN134" s="22"/>
      <c r="AO134" s="22"/>
      <c r="AP134" s="22"/>
      <c r="AQ134" s="22"/>
      <c r="AR134" s="22"/>
      <c r="AS134" s="22"/>
    </row>
    <row r="135" spans="1:45" x14ac:dyDescent="0.3">
      <c r="A135" s="22"/>
      <c r="B135" s="71"/>
      <c r="C135" s="22"/>
      <c r="D135" s="23"/>
      <c r="E135" s="22"/>
      <c r="F135" s="22"/>
      <c r="G135" s="22"/>
      <c r="H135" s="23"/>
      <c r="I135" s="22"/>
      <c r="J135" s="22"/>
      <c r="K135" s="22"/>
      <c r="L135" s="23"/>
      <c r="M135" s="71"/>
      <c r="N135" s="71"/>
      <c r="O135" s="22"/>
      <c r="P135" s="22"/>
      <c r="Q135" s="22"/>
      <c r="R135" s="71"/>
      <c r="S135" s="71"/>
      <c r="T135" s="71"/>
      <c r="U135" s="71"/>
      <c r="V135" s="71"/>
      <c r="W135" s="71"/>
      <c r="X135" s="71"/>
      <c r="Y135" s="71"/>
      <c r="Z135" s="71"/>
      <c r="AA135" s="71"/>
      <c r="AB135" s="71"/>
      <c r="AC135" s="22"/>
      <c r="AD135" s="22"/>
      <c r="AE135" s="22"/>
      <c r="AF135" s="22"/>
      <c r="AG135" s="22"/>
      <c r="AH135" s="22"/>
      <c r="AI135" s="22"/>
      <c r="AJ135" s="22"/>
      <c r="AK135" s="22"/>
      <c r="AL135" s="22"/>
      <c r="AM135" s="22"/>
      <c r="AN135" s="22"/>
      <c r="AO135" s="22"/>
      <c r="AP135" s="22"/>
      <c r="AQ135" s="22"/>
      <c r="AR135" s="22"/>
      <c r="AS135" s="22"/>
    </row>
    <row r="136" spans="1:45" x14ac:dyDescent="0.3">
      <c r="A136" s="22"/>
      <c r="B136" s="71"/>
      <c r="C136" s="22"/>
      <c r="D136" s="23"/>
      <c r="E136" s="22"/>
      <c r="F136" s="22"/>
      <c r="G136" s="22"/>
      <c r="H136" s="23"/>
      <c r="I136" s="22"/>
      <c r="J136" s="22"/>
      <c r="K136" s="22"/>
      <c r="L136" s="23"/>
      <c r="M136" s="71"/>
      <c r="N136" s="71"/>
      <c r="O136" s="22"/>
      <c r="P136" s="22"/>
      <c r="Q136" s="22"/>
      <c r="R136" s="71"/>
      <c r="S136" s="71"/>
      <c r="T136" s="71"/>
      <c r="U136" s="71"/>
      <c r="V136" s="71"/>
      <c r="W136" s="71"/>
      <c r="X136" s="71"/>
      <c r="Y136" s="71"/>
      <c r="Z136" s="71"/>
      <c r="AA136" s="71"/>
      <c r="AB136" s="71"/>
      <c r="AC136" s="22"/>
      <c r="AD136" s="22"/>
      <c r="AE136" s="22"/>
      <c r="AF136" s="22"/>
      <c r="AG136" s="22"/>
      <c r="AH136" s="22"/>
      <c r="AI136" s="22"/>
      <c r="AJ136" s="22"/>
      <c r="AK136" s="22"/>
      <c r="AL136" s="22"/>
      <c r="AM136" s="22"/>
      <c r="AN136" s="22"/>
      <c r="AO136" s="22"/>
      <c r="AP136" s="22"/>
      <c r="AQ136" s="22"/>
      <c r="AR136" s="22"/>
      <c r="AS136" s="22"/>
    </row>
    <row r="137" spans="1:45" x14ac:dyDescent="0.3">
      <c r="A137" s="22"/>
      <c r="B137" s="71"/>
      <c r="C137" s="22"/>
      <c r="D137" s="23"/>
      <c r="E137" s="22"/>
      <c r="F137" s="22"/>
      <c r="G137" s="22"/>
      <c r="H137" s="23"/>
      <c r="I137" s="22"/>
      <c r="J137" s="22"/>
      <c r="K137" s="22"/>
      <c r="L137" s="23"/>
      <c r="M137" s="71"/>
      <c r="N137" s="71"/>
      <c r="O137" s="22"/>
      <c r="P137" s="22"/>
      <c r="Q137" s="22"/>
      <c r="R137" s="71"/>
      <c r="S137" s="71"/>
      <c r="T137" s="71"/>
      <c r="U137" s="71"/>
      <c r="V137" s="71"/>
      <c r="W137" s="71"/>
      <c r="X137" s="71"/>
      <c r="Y137" s="71"/>
      <c r="Z137" s="71"/>
      <c r="AA137" s="71"/>
      <c r="AB137" s="71"/>
      <c r="AC137" s="22"/>
      <c r="AD137" s="22"/>
      <c r="AE137" s="22"/>
      <c r="AF137" s="22"/>
      <c r="AG137" s="22"/>
      <c r="AH137" s="22"/>
      <c r="AI137" s="22"/>
      <c r="AJ137" s="22"/>
      <c r="AK137" s="22"/>
      <c r="AL137" s="22"/>
      <c r="AM137" s="22"/>
      <c r="AN137" s="22"/>
      <c r="AO137" s="22"/>
      <c r="AP137" s="22"/>
      <c r="AQ137" s="22"/>
      <c r="AR137" s="22"/>
      <c r="AS137" s="22"/>
    </row>
    <row r="138" spans="1:45" x14ac:dyDescent="0.3">
      <c r="A138" s="22"/>
      <c r="B138" s="71"/>
      <c r="C138" s="22"/>
      <c r="D138" s="23"/>
      <c r="E138" s="22"/>
      <c r="F138" s="22"/>
      <c r="G138" s="22"/>
      <c r="H138" s="23"/>
      <c r="I138" s="22"/>
      <c r="J138" s="22"/>
      <c r="K138" s="22"/>
      <c r="L138" s="23"/>
      <c r="M138" s="71"/>
      <c r="N138" s="71"/>
      <c r="O138" s="22"/>
      <c r="P138" s="22"/>
      <c r="Q138" s="22"/>
      <c r="R138" s="71"/>
      <c r="S138" s="71"/>
      <c r="T138" s="71"/>
      <c r="U138" s="71"/>
      <c r="V138" s="71"/>
      <c r="W138" s="71"/>
      <c r="X138" s="71"/>
      <c r="Y138" s="71"/>
      <c r="Z138" s="71"/>
      <c r="AA138" s="71"/>
      <c r="AB138" s="71"/>
      <c r="AC138" s="22"/>
      <c r="AD138" s="22"/>
      <c r="AE138" s="22"/>
      <c r="AF138" s="22"/>
      <c r="AG138" s="22"/>
      <c r="AH138" s="22"/>
      <c r="AI138" s="22"/>
      <c r="AJ138" s="22"/>
      <c r="AK138" s="22"/>
      <c r="AL138" s="22"/>
      <c r="AM138" s="22"/>
      <c r="AN138" s="22"/>
      <c r="AO138" s="22"/>
      <c r="AP138" s="22"/>
      <c r="AQ138" s="22"/>
      <c r="AR138" s="22"/>
      <c r="AS138" s="22"/>
    </row>
    <row r="139" spans="1:45" x14ac:dyDescent="0.3">
      <c r="A139" s="22"/>
      <c r="B139" s="71"/>
      <c r="C139" s="22"/>
      <c r="D139" s="23"/>
      <c r="E139" s="22"/>
      <c r="F139" s="22"/>
      <c r="G139" s="22"/>
      <c r="H139" s="23"/>
      <c r="I139" s="22"/>
      <c r="J139" s="22"/>
      <c r="K139" s="22"/>
      <c r="L139" s="23"/>
      <c r="M139" s="71"/>
      <c r="N139" s="71"/>
      <c r="O139" s="22"/>
      <c r="P139" s="22"/>
      <c r="Q139" s="22"/>
      <c r="R139" s="71"/>
      <c r="S139" s="71"/>
      <c r="T139" s="71"/>
      <c r="U139" s="71"/>
      <c r="V139" s="71"/>
      <c r="W139" s="71"/>
      <c r="X139" s="71"/>
      <c r="Y139" s="71"/>
      <c r="Z139" s="71"/>
      <c r="AA139" s="71"/>
      <c r="AB139" s="71"/>
      <c r="AC139" s="22"/>
      <c r="AD139" s="22"/>
      <c r="AE139" s="22"/>
      <c r="AF139" s="22"/>
      <c r="AG139" s="22"/>
      <c r="AH139" s="22"/>
      <c r="AI139" s="22"/>
      <c r="AJ139" s="22"/>
      <c r="AK139" s="22"/>
      <c r="AL139" s="22"/>
      <c r="AM139" s="22"/>
      <c r="AN139" s="22"/>
      <c r="AO139" s="22"/>
      <c r="AP139" s="22"/>
      <c r="AQ139" s="22"/>
      <c r="AR139" s="22"/>
      <c r="AS139" s="22"/>
    </row>
    <row r="140" spans="1:45" x14ac:dyDescent="0.3">
      <c r="A140" s="22"/>
      <c r="B140" s="71"/>
      <c r="C140" s="22"/>
      <c r="D140" s="23"/>
      <c r="E140" s="22"/>
      <c r="F140" s="22"/>
      <c r="G140" s="22"/>
      <c r="H140" s="23"/>
      <c r="I140" s="22"/>
      <c r="J140" s="22"/>
      <c r="K140" s="22"/>
      <c r="L140" s="23"/>
      <c r="M140" s="71"/>
      <c r="N140" s="71"/>
      <c r="O140" s="22"/>
      <c r="P140" s="22"/>
      <c r="Q140" s="22"/>
      <c r="R140" s="71"/>
      <c r="S140" s="71"/>
      <c r="T140" s="71"/>
      <c r="U140" s="71"/>
      <c r="V140" s="71"/>
      <c r="W140" s="71"/>
      <c r="X140" s="71"/>
      <c r="Y140" s="71"/>
      <c r="Z140" s="71"/>
      <c r="AA140" s="71"/>
      <c r="AB140" s="71"/>
      <c r="AC140" s="22"/>
      <c r="AD140" s="22"/>
      <c r="AE140" s="22"/>
      <c r="AF140" s="22"/>
      <c r="AG140" s="22"/>
      <c r="AH140" s="22"/>
      <c r="AI140" s="22"/>
      <c r="AJ140" s="22"/>
      <c r="AK140" s="22"/>
      <c r="AL140" s="22"/>
      <c r="AM140" s="22"/>
      <c r="AN140" s="22"/>
      <c r="AO140" s="22"/>
      <c r="AP140" s="22"/>
      <c r="AQ140" s="22"/>
      <c r="AR140" s="22"/>
      <c r="AS140" s="22"/>
    </row>
    <row r="141" spans="1:45" x14ac:dyDescent="0.3">
      <c r="A141" s="22"/>
      <c r="B141" s="71"/>
      <c r="C141" s="22"/>
      <c r="D141" s="23"/>
      <c r="E141" s="22"/>
      <c r="F141" s="22"/>
      <c r="G141" s="22"/>
      <c r="H141" s="23"/>
      <c r="I141" s="22"/>
      <c r="J141" s="22"/>
      <c r="K141" s="22"/>
      <c r="L141" s="23"/>
      <c r="M141" s="71"/>
      <c r="N141" s="71"/>
      <c r="O141" s="22"/>
      <c r="P141" s="22"/>
      <c r="Q141" s="22"/>
      <c r="R141" s="71"/>
      <c r="S141" s="71"/>
      <c r="T141" s="71"/>
      <c r="U141" s="71"/>
      <c r="V141" s="71"/>
      <c r="W141" s="71"/>
      <c r="X141" s="71"/>
      <c r="Y141" s="71"/>
      <c r="Z141" s="71"/>
      <c r="AA141" s="71"/>
      <c r="AB141" s="71"/>
      <c r="AC141" s="22"/>
      <c r="AD141" s="22"/>
      <c r="AE141" s="22"/>
      <c r="AF141" s="22"/>
      <c r="AG141" s="22"/>
      <c r="AH141" s="22"/>
      <c r="AI141" s="22"/>
      <c r="AJ141" s="22"/>
      <c r="AK141" s="22"/>
      <c r="AL141" s="22"/>
      <c r="AM141" s="22"/>
      <c r="AN141" s="22"/>
      <c r="AO141" s="22"/>
      <c r="AP141" s="22"/>
      <c r="AQ141" s="22"/>
      <c r="AR141" s="22"/>
      <c r="AS141" s="22"/>
    </row>
    <row r="142" spans="1:45" x14ac:dyDescent="0.3">
      <c r="A142" s="22"/>
      <c r="B142" s="71"/>
      <c r="C142" s="22"/>
      <c r="D142" s="23"/>
      <c r="E142" s="22"/>
      <c r="F142" s="22"/>
      <c r="G142" s="22"/>
      <c r="H142" s="23"/>
      <c r="I142" s="22"/>
      <c r="J142" s="22"/>
      <c r="K142" s="22"/>
      <c r="L142" s="23"/>
      <c r="M142" s="71"/>
      <c r="N142" s="71"/>
      <c r="O142" s="22"/>
      <c r="P142" s="22"/>
      <c r="Q142" s="22"/>
      <c r="R142" s="71"/>
      <c r="S142" s="71"/>
      <c r="T142" s="71"/>
      <c r="U142" s="71"/>
      <c r="V142" s="71"/>
      <c r="W142" s="71"/>
      <c r="X142" s="71"/>
      <c r="Y142" s="71"/>
      <c r="Z142" s="71"/>
      <c r="AA142" s="71"/>
      <c r="AB142" s="71"/>
      <c r="AC142" s="22"/>
      <c r="AD142" s="22"/>
      <c r="AE142" s="22"/>
      <c r="AF142" s="22"/>
      <c r="AG142" s="22"/>
      <c r="AH142" s="22"/>
      <c r="AI142" s="22"/>
      <c r="AJ142" s="22"/>
      <c r="AK142" s="22"/>
      <c r="AL142" s="22"/>
      <c r="AM142" s="22"/>
      <c r="AN142" s="22"/>
      <c r="AO142" s="22"/>
      <c r="AP142" s="22"/>
      <c r="AQ142" s="22"/>
      <c r="AR142" s="22"/>
      <c r="AS142" s="22"/>
    </row>
    <row r="143" spans="1:45" x14ac:dyDescent="0.3">
      <c r="A143" s="22"/>
      <c r="B143" s="71"/>
      <c r="C143" s="22"/>
      <c r="D143" s="23"/>
      <c r="E143" s="22"/>
      <c r="F143" s="22"/>
      <c r="G143" s="22"/>
      <c r="H143" s="23"/>
      <c r="I143" s="22"/>
      <c r="J143" s="22"/>
      <c r="K143" s="22"/>
      <c r="L143" s="23"/>
      <c r="M143" s="71"/>
      <c r="N143" s="71"/>
      <c r="O143" s="22"/>
      <c r="P143" s="22"/>
      <c r="Q143" s="22"/>
      <c r="R143" s="71"/>
      <c r="AC143" s="22"/>
      <c r="AD143" s="22"/>
      <c r="AE143" s="22"/>
      <c r="AF143" s="22"/>
      <c r="AG143" s="22"/>
      <c r="AH143" s="22"/>
      <c r="AI143" s="22"/>
      <c r="AJ143" s="22"/>
      <c r="AK143" s="22"/>
      <c r="AL143" s="22"/>
      <c r="AM143" s="22"/>
      <c r="AN143" s="22"/>
      <c r="AO143" s="22"/>
      <c r="AP143" s="22"/>
      <c r="AQ143" s="22"/>
      <c r="AR143" s="22"/>
      <c r="AS143" s="22"/>
    </row>
    <row r="144" spans="1:45" x14ac:dyDescent="0.3">
      <c r="A144" s="22"/>
      <c r="B144" s="71"/>
      <c r="C144" s="22"/>
      <c r="D144" s="23"/>
      <c r="E144" s="22"/>
      <c r="F144" s="22"/>
      <c r="G144" s="22"/>
      <c r="H144" s="23"/>
      <c r="I144" s="22"/>
      <c r="J144" s="22"/>
      <c r="K144" s="22"/>
      <c r="L144" s="23"/>
      <c r="M144" s="71"/>
      <c r="N144" s="71"/>
      <c r="O144" s="22"/>
      <c r="P144" s="22"/>
      <c r="Q144" s="22"/>
      <c r="R144" s="71"/>
      <c r="AC144" s="22"/>
      <c r="AD144" s="22"/>
      <c r="AE144" s="22"/>
      <c r="AF144" s="22"/>
      <c r="AG144" s="22"/>
      <c r="AH144" s="22"/>
      <c r="AI144" s="22"/>
      <c r="AJ144" s="22"/>
      <c r="AK144" s="22"/>
      <c r="AL144" s="22"/>
      <c r="AM144" s="22"/>
      <c r="AN144" s="22"/>
      <c r="AO144" s="22"/>
      <c r="AP144" s="22"/>
      <c r="AQ144" s="22"/>
      <c r="AR144" s="22"/>
      <c r="AS144" s="22"/>
    </row>
    <row r="145" spans="1:45" x14ac:dyDescent="0.3">
      <c r="A145" s="22"/>
      <c r="B145" s="71"/>
      <c r="C145" s="22"/>
      <c r="D145" s="23"/>
      <c r="E145" s="22"/>
      <c r="F145" s="22"/>
      <c r="G145" s="22"/>
      <c r="H145" s="23"/>
      <c r="I145" s="22"/>
      <c r="J145" s="22"/>
      <c r="K145" s="22"/>
      <c r="L145" s="23"/>
      <c r="M145" s="71"/>
      <c r="N145" s="71"/>
      <c r="O145" s="22"/>
      <c r="P145" s="22"/>
      <c r="Q145" s="22"/>
      <c r="R145" s="71"/>
      <c r="AC145" s="22"/>
      <c r="AD145" s="22"/>
      <c r="AE145" s="22"/>
      <c r="AF145" s="22"/>
      <c r="AG145" s="22"/>
      <c r="AH145" s="22"/>
      <c r="AI145" s="22"/>
      <c r="AJ145" s="22"/>
      <c r="AK145" s="22"/>
      <c r="AL145" s="22"/>
      <c r="AM145" s="22"/>
      <c r="AN145" s="22"/>
      <c r="AO145" s="22"/>
      <c r="AP145" s="22"/>
      <c r="AQ145" s="22"/>
      <c r="AR145" s="22"/>
      <c r="AS145" s="22"/>
    </row>
    <row r="146" spans="1:45" x14ac:dyDescent="0.3">
      <c r="A146" s="22"/>
      <c r="B146" s="71"/>
      <c r="C146" s="22"/>
      <c r="D146" s="23"/>
      <c r="E146" s="22"/>
      <c r="F146" s="22"/>
      <c r="G146" s="22"/>
      <c r="H146" s="23"/>
      <c r="I146" s="22"/>
      <c r="J146" s="22"/>
      <c r="K146" s="22"/>
      <c r="L146" s="23"/>
      <c r="M146" s="71"/>
      <c r="N146" s="71"/>
      <c r="O146" s="22"/>
      <c r="P146" s="22"/>
      <c r="Q146" s="22"/>
      <c r="R146" s="71"/>
      <c r="AC146" s="22"/>
      <c r="AD146" s="22"/>
      <c r="AE146" s="22"/>
      <c r="AF146" s="22"/>
      <c r="AG146" s="22"/>
      <c r="AH146" s="22"/>
      <c r="AI146" s="22"/>
      <c r="AJ146" s="22"/>
      <c r="AK146" s="22"/>
      <c r="AL146" s="22"/>
      <c r="AM146" s="22"/>
      <c r="AN146" s="22"/>
      <c r="AO146" s="22"/>
      <c r="AP146" s="22"/>
      <c r="AQ146" s="22"/>
      <c r="AR146" s="22"/>
      <c r="AS146" s="22"/>
    </row>
    <row r="147" spans="1:45" x14ac:dyDescent="0.3">
      <c r="A147" s="22"/>
      <c r="B147" s="71"/>
      <c r="C147" s="22"/>
      <c r="D147" s="23"/>
      <c r="E147" s="22"/>
      <c r="F147" s="22"/>
      <c r="G147" s="22"/>
      <c r="H147" s="23"/>
      <c r="I147" s="22"/>
      <c r="J147" s="22"/>
      <c r="K147" s="22"/>
      <c r="L147" s="23"/>
      <c r="M147" s="71"/>
      <c r="N147" s="71"/>
      <c r="O147" s="22"/>
      <c r="P147" s="22"/>
      <c r="Q147" s="22"/>
      <c r="R147" s="71"/>
      <c r="AC147" s="22"/>
      <c r="AD147" s="22"/>
      <c r="AE147" s="22"/>
      <c r="AF147" s="22"/>
      <c r="AG147" s="22"/>
      <c r="AH147" s="22"/>
      <c r="AI147" s="22"/>
      <c r="AJ147" s="22"/>
      <c r="AK147" s="22"/>
      <c r="AL147" s="22"/>
      <c r="AM147" s="22"/>
      <c r="AN147" s="22"/>
      <c r="AO147" s="22"/>
      <c r="AP147" s="22"/>
      <c r="AQ147" s="22"/>
      <c r="AR147" s="22"/>
      <c r="AS147" s="22"/>
    </row>
    <row r="148" spans="1:45" x14ac:dyDescent="0.3">
      <c r="A148" s="22"/>
      <c r="B148" s="71"/>
      <c r="C148" s="22"/>
      <c r="D148" s="23"/>
      <c r="E148" s="22"/>
      <c r="F148" s="22"/>
      <c r="G148" s="22"/>
      <c r="H148" s="23"/>
      <c r="I148" s="22"/>
      <c r="J148" s="22"/>
      <c r="K148" s="22"/>
      <c r="L148" s="23"/>
      <c r="M148" s="71"/>
      <c r="N148" s="71"/>
      <c r="O148" s="22"/>
      <c r="P148" s="22"/>
      <c r="Q148" s="22"/>
      <c r="R148" s="71"/>
      <c r="AC148" s="22"/>
      <c r="AD148" s="22"/>
      <c r="AE148" s="22"/>
      <c r="AF148" s="22"/>
      <c r="AG148" s="22"/>
      <c r="AH148" s="22"/>
      <c r="AI148" s="22"/>
      <c r="AJ148" s="22"/>
      <c r="AK148" s="22"/>
      <c r="AL148" s="22"/>
      <c r="AM148" s="22"/>
      <c r="AN148" s="22"/>
      <c r="AO148" s="22"/>
      <c r="AP148" s="22"/>
      <c r="AQ148" s="22"/>
      <c r="AR148" s="22"/>
      <c r="AS148" s="22"/>
    </row>
    <row r="149" spans="1:45" x14ac:dyDescent="0.3">
      <c r="A149" s="22"/>
      <c r="B149" s="71"/>
      <c r="C149" s="22"/>
      <c r="D149" s="23"/>
      <c r="E149" s="22"/>
      <c r="F149" s="22"/>
      <c r="G149" s="22"/>
      <c r="H149" s="23"/>
      <c r="I149" s="22"/>
      <c r="J149" s="22"/>
      <c r="K149" s="22"/>
      <c r="L149" s="23"/>
      <c r="M149" s="71"/>
      <c r="N149" s="71"/>
      <c r="O149" s="22"/>
      <c r="P149" s="22"/>
      <c r="Q149" s="22"/>
      <c r="R149" s="71"/>
      <c r="AC149" s="22"/>
      <c r="AD149" s="22"/>
      <c r="AE149" s="22"/>
      <c r="AF149" s="22"/>
      <c r="AG149" s="22"/>
      <c r="AH149" s="22"/>
      <c r="AI149" s="22"/>
      <c r="AJ149" s="22"/>
      <c r="AK149" s="22"/>
      <c r="AL149" s="22"/>
      <c r="AM149" s="22"/>
      <c r="AN149" s="22"/>
      <c r="AO149" s="22"/>
      <c r="AP149" s="22"/>
      <c r="AQ149" s="22"/>
      <c r="AR149" s="22"/>
      <c r="AS149" s="22"/>
    </row>
    <row r="150" spans="1:45" x14ac:dyDescent="0.3">
      <c r="A150" s="22"/>
      <c r="B150" s="71"/>
      <c r="C150" s="22"/>
      <c r="D150" s="23"/>
      <c r="E150" s="22"/>
      <c r="F150" s="22"/>
      <c r="G150" s="22"/>
      <c r="H150" s="23"/>
      <c r="I150" s="22"/>
      <c r="J150" s="22"/>
      <c r="K150" s="22"/>
      <c r="L150" s="23"/>
      <c r="M150" s="71"/>
      <c r="N150" s="71"/>
      <c r="O150" s="22"/>
      <c r="P150" s="22"/>
      <c r="Q150" s="22"/>
      <c r="R150" s="71"/>
      <c r="AC150" s="22"/>
      <c r="AD150" s="22"/>
      <c r="AE150" s="22"/>
      <c r="AF150" s="22"/>
      <c r="AG150" s="22"/>
      <c r="AH150" s="22"/>
      <c r="AI150" s="22"/>
      <c r="AJ150" s="22"/>
      <c r="AK150" s="22"/>
      <c r="AL150" s="22"/>
      <c r="AM150" s="22"/>
      <c r="AN150" s="22"/>
      <c r="AO150" s="22"/>
      <c r="AP150" s="22"/>
      <c r="AQ150" s="22"/>
      <c r="AR150" s="22"/>
      <c r="AS150" s="22"/>
    </row>
    <row r="151" spans="1:45" x14ac:dyDescent="0.3">
      <c r="A151" s="22"/>
      <c r="B151" s="71"/>
      <c r="C151" s="22"/>
      <c r="D151" s="23"/>
      <c r="E151" s="22"/>
      <c r="F151" s="22"/>
      <c r="G151" s="22"/>
      <c r="H151" s="23"/>
      <c r="I151" s="22"/>
      <c r="J151" s="22"/>
      <c r="K151" s="22"/>
      <c r="L151" s="23"/>
      <c r="M151" s="71"/>
      <c r="N151" s="71"/>
      <c r="O151" s="22"/>
      <c r="P151" s="22"/>
      <c r="Q151" s="22"/>
      <c r="R151" s="71"/>
      <c r="AC151" s="22"/>
      <c r="AD151" s="22"/>
      <c r="AE151" s="22"/>
      <c r="AF151" s="22"/>
      <c r="AG151" s="22"/>
      <c r="AH151" s="22"/>
      <c r="AI151" s="22"/>
      <c r="AJ151" s="22"/>
      <c r="AK151" s="22"/>
      <c r="AL151" s="22"/>
      <c r="AM151" s="22"/>
      <c r="AN151" s="22"/>
      <c r="AO151" s="22"/>
      <c r="AP151" s="22"/>
      <c r="AQ151" s="22"/>
      <c r="AR151" s="22"/>
      <c r="AS151" s="22"/>
    </row>
    <row r="152" spans="1:45" x14ac:dyDescent="0.3">
      <c r="A152" s="22"/>
      <c r="B152" s="71"/>
      <c r="C152" s="22"/>
      <c r="D152" s="23"/>
      <c r="E152" s="22"/>
      <c r="F152" s="22"/>
      <c r="G152" s="22"/>
      <c r="H152" s="23"/>
      <c r="I152" s="22"/>
      <c r="J152" s="22"/>
      <c r="K152" s="22"/>
      <c r="L152" s="23"/>
      <c r="M152" s="71"/>
      <c r="N152" s="71"/>
      <c r="O152" s="22"/>
      <c r="P152" s="22"/>
      <c r="Q152" s="22"/>
      <c r="R152" s="71"/>
      <c r="AC152" s="22"/>
      <c r="AD152" s="22"/>
      <c r="AE152" s="22"/>
      <c r="AF152" s="22"/>
      <c r="AG152" s="22"/>
      <c r="AH152" s="22"/>
      <c r="AI152" s="22"/>
      <c r="AJ152" s="22"/>
      <c r="AK152" s="22"/>
      <c r="AL152" s="22"/>
      <c r="AM152" s="22"/>
      <c r="AN152" s="22"/>
      <c r="AO152" s="22"/>
      <c r="AP152" s="22"/>
      <c r="AQ152" s="22"/>
      <c r="AR152" s="22"/>
      <c r="AS152" s="22"/>
    </row>
    <row r="153" spans="1:45" x14ac:dyDescent="0.3">
      <c r="A153" s="22"/>
      <c r="B153" s="71"/>
      <c r="C153" s="22"/>
      <c r="D153" s="23"/>
      <c r="E153" s="22"/>
      <c r="F153" s="22"/>
      <c r="G153" s="22"/>
      <c r="H153" s="23"/>
      <c r="I153" s="22"/>
      <c r="J153" s="22"/>
      <c r="K153" s="22"/>
      <c r="L153" s="23"/>
      <c r="M153" s="71"/>
      <c r="N153" s="71"/>
      <c r="O153" s="22"/>
      <c r="P153" s="22"/>
      <c r="Q153" s="22"/>
      <c r="R153" s="71"/>
      <c r="AC153" s="22"/>
      <c r="AD153" s="22"/>
      <c r="AE153" s="22"/>
      <c r="AF153" s="22"/>
      <c r="AG153" s="22"/>
      <c r="AH153" s="22"/>
      <c r="AI153" s="22"/>
      <c r="AJ153" s="22"/>
      <c r="AK153" s="22"/>
      <c r="AL153" s="22"/>
      <c r="AM153" s="22"/>
      <c r="AN153" s="22"/>
      <c r="AO153" s="22"/>
      <c r="AP153" s="22"/>
      <c r="AQ153" s="22"/>
      <c r="AR153" s="22"/>
      <c r="AS153" s="22"/>
    </row>
    <row r="154" spans="1:45" x14ac:dyDescent="0.3">
      <c r="A154" s="22"/>
      <c r="B154" s="71"/>
      <c r="C154" s="22"/>
      <c r="D154" s="23"/>
      <c r="E154" s="22"/>
      <c r="F154" s="22"/>
      <c r="G154" s="22"/>
      <c r="H154" s="23"/>
      <c r="I154" s="22"/>
      <c r="J154" s="22"/>
      <c r="K154" s="22"/>
      <c r="L154" s="23"/>
      <c r="M154" s="71"/>
      <c r="N154" s="71"/>
      <c r="O154" s="22"/>
      <c r="P154" s="22"/>
      <c r="Q154" s="22"/>
      <c r="R154" s="71"/>
      <c r="AC154" s="22"/>
      <c r="AD154" s="22"/>
      <c r="AE154" s="22"/>
      <c r="AF154" s="22"/>
      <c r="AG154" s="22"/>
      <c r="AH154" s="22"/>
      <c r="AI154" s="22"/>
      <c r="AJ154" s="22"/>
      <c r="AK154" s="22"/>
      <c r="AL154" s="22"/>
      <c r="AM154" s="22"/>
      <c r="AN154" s="22"/>
      <c r="AO154" s="22"/>
      <c r="AP154" s="22"/>
      <c r="AQ154" s="22"/>
      <c r="AR154" s="22"/>
      <c r="AS154" s="22"/>
    </row>
    <row r="155" spans="1:45" x14ac:dyDescent="0.3">
      <c r="A155" s="22"/>
      <c r="B155" s="71"/>
      <c r="C155" s="22"/>
      <c r="D155" s="23"/>
      <c r="E155" s="22"/>
      <c r="F155" s="22"/>
      <c r="G155" s="22"/>
      <c r="H155" s="23"/>
      <c r="I155" s="22"/>
      <c r="J155" s="22"/>
      <c r="K155" s="22"/>
      <c r="L155" s="23"/>
      <c r="M155" s="71"/>
      <c r="N155" s="71"/>
      <c r="O155" s="22"/>
      <c r="P155" s="22"/>
      <c r="Q155" s="22"/>
      <c r="R155" s="71"/>
      <c r="AC155" s="22"/>
      <c r="AD155" s="22"/>
      <c r="AE155" s="22"/>
      <c r="AF155" s="22"/>
      <c r="AG155" s="22"/>
      <c r="AH155" s="22"/>
      <c r="AI155" s="22"/>
      <c r="AJ155" s="22"/>
      <c r="AK155" s="22"/>
      <c r="AL155" s="22"/>
      <c r="AM155" s="22"/>
      <c r="AN155" s="22"/>
      <c r="AO155" s="22"/>
      <c r="AP155" s="22"/>
      <c r="AQ155" s="22"/>
      <c r="AR155" s="22"/>
      <c r="AS155" s="22"/>
    </row>
    <row r="156" spans="1:45" x14ac:dyDescent="0.3">
      <c r="A156" s="22"/>
      <c r="B156" s="71"/>
      <c r="C156" s="22"/>
      <c r="D156" s="23"/>
      <c r="E156" s="22"/>
      <c r="F156" s="22"/>
      <c r="G156" s="22"/>
      <c r="H156" s="23"/>
      <c r="I156" s="22"/>
      <c r="J156" s="22"/>
      <c r="K156" s="22"/>
      <c r="L156" s="23"/>
      <c r="M156" s="71"/>
      <c r="N156" s="71"/>
      <c r="O156" s="22"/>
      <c r="P156" s="22"/>
      <c r="Q156" s="22"/>
      <c r="R156" s="71"/>
      <c r="AC156" s="22"/>
      <c r="AD156" s="22"/>
      <c r="AE156" s="22"/>
      <c r="AF156" s="22"/>
      <c r="AG156" s="22"/>
      <c r="AH156" s="22"/>
      <c r="AI156" s="22"/>
      <c r="AJ156" s="22"/>
      <c r="AK156" s="22"/>
      <c r="AL156" s="22"/>
      <c r="AM156" s="22"/>
      <c r="AN156" s="22"/>
      <c r="AO156" s="22"/>
      <c r="AP156" s="22"/>
      <c r="AQ156" s="22"/>
      <c r="AR156" s="22"/>
      <c r="AS156" s="22"/>
    </row>
    <row r="157" spans="1:45" x14ac:dyDescent="0.3">
      <c r="A157" s="22"/>
      <c r="B157" s="71"/>
      <c r="C157" s="22"/>
      <c r="D157" s="23"/>
      <c r="E157" s="22"/>
      <c r="F157" s="22"/>
      <c r="G157" s="22"/>
      <c r="H157" s="23"/>
      <c r="I157" s="22"/>
      <c r="J157" s="22"/>
      <c r="K157" s="22"/>
      <c r="L157" s="23"/>
      <c r="M157" s="71"/>
      <c r="N157" s="71"/>
      <c r="O157" s="22"/>
      <c r="P157" s="22"/>
      <c r="Q157" s="22"/>
      <c r="R157" s="71"/>
      <c r="AC157" s="22"/>
      <c r="AD157" s="22"/>
      <c r="AE157" s="22"/>
      <c r="AF157" s="22"/>
      <c r="AG157" s="22"/>
      <c r="AH157" s="22"/>
      <c r="AI157" s="22"/>
      <c r="AJ157" s="22"/>
      <c r="AK157" s="22"/>
      <c r="AL157" s="22"/>
      <c r="AM157" s="22"/>
      <c r="AN157" s="22"/>
      <c r="AO157" s="22"/>
      <c r="AP157" s="22"/>
      <c r="AQ157" s="22"/>
      <c r="AR157" s="22"/>
      <c r="AS157" s="22"/>
    </row>
    <row r="158" spans="1:45" x14ac:dyDescent="0.3">
      <c r="A158" s="22"/>
      <c r="B158" s="71"/>
      <c r="C158" s="22"/>
      <c r="D158" s="23"/>
      <c r="E158" s="22"/>
      <c r="F158" s="22"/>
      <c r="G158" s="22"/>
      <c r="H158" s="23"/>
      <c r="I158" s="22"/>
      <c r="J158" s="22"/>
      <c r="K158" s="22"/>
      <c r="L158" s="23"/>
      <c r="M158" s="71"/>
      <c r="N158" s="71"/>
      <c r="O158" s="22"/>
      <c r="P158" s="22"/>
      <c r="Q158" s="22"/>
      <c r="R158" s="71"/>
      <c r="AC158" s="22"/>
      <c r="AD158" s="22"/>
      <c r="AE158" s="22"/>
      <c r="AF158" s="22"/>
      <c r="AG158" s="22"/>
      <c r="AH158" s="22"/>
      <c r="AI158" s="22"/>
      <c r="AJ158" s="22"/>
      <c r="AK158" s="22"/>
      <c r="AL158" s="22"/>
      <c r="AM158" s="22"/>
      <c r="AN158" s="22"/>
      <c r="AO158" s="22"/>
      <c r="AP158" s="22"/>
      <c r="AQ158" s="22"/>
      <c r="AR158" s="22"/>
      <c r="AS158" s="22"/>
    </row>
    <row r="159" spans="1:45" x14ac:dyDescent="0.3">
      <c r="A159" s="22"/>
      <c r="B159" s="71"/>
      <c r="C159" s="22"/>
      <c r="D159" s="23"/>
      <c r="E159" s="22"/>
      <c r="F159" s="22"/>
      <c r="G159" s="22"/>
      <c r="H159" s="23"/>
      <c r="I159" s="22"/>
      <c r="J159" s="22"/>
      <c r="K159" s="22"/>
      <c r="L159" s="23"/>
      <c r="M159" s="71"/>
      <c r="N159" s="71"/>
      <c r="O159" s="22"/>
      <c r="P159" s="22"/>
      <c r="Q159" s="22"/>
      <c r="R159" s="71"/>
      <c r="AC159" s="22"/>
      <c r="AD159" s="22"/>
      <c r="AE159" s="22"/>
      <c r="AF159" s="22"/>
      <c r="AG159" s="22"/>
      <c r="AH159" s="22"/>
      <c r="AI159" s="22"/>
      <c r="AJ159" s="22"/>
      <c r="AK159" s="22"/>
      <c r="AL159" s="22"/>
      <c r="AM159" s="22"/>
      <c r="AN159" s="22"/>
      <c r="AO159" s="22"/>
      <c r="AP159" s="22"/>
      <c r="AQ159" s="22"/>
      <c r="AR159" s="22"/>
      <c r="AS159" s="22"/>
    </row>
    <row r="160" spans="1:45" x14ac:dyDescent="0.3">
      <c r="A160" s="22"/>
      <c r="B160" s="71"/>
      <c r="C160" s="22"/>
      <c r="D160" s="23"/>
      <c r="E160" s="22"/>
      <c r="F160" s="22"/>
      <c r="G160" s="22"/>
      <c r="H160" s="23"/>
      <c r="I160" s="22"/>
      <c r="J160" s="22"/>
      <c r="K160" s="22"/>
      <c r="L160" s="23"/>
      <c r="M160" s="71"/>
      <c r="N160" s="71"/>
      <c r="O160" s="22"/>
      <c r="P160" s="22"/>
      <c r="Q160" s="22"/>
      <c r="R160" s="71"/>
      <c r="AC160" s="22"/>
      <c r="AD160" s="22"/>
      <c r="AE160" s="22"/>
      <c r="AF160" s="22"/>
      <c r="AG160" s="22"/>
      <c r="AH160" s="22"/>
      <c r="AI160" s="22"/>
      <c r="AJ160" s="22"/>
      <c r="AK160" s="22"/>
      <c r="AL160" s="22"/>
      <c r="AM160" s="22"/>
      <c r="AN160" s="22"/>
      <c r="AO160" s="22"/>
      <c r="AP160" s="22"/>
      <c r="AQ160" s="22"/>
      <c r="AR160" s="22"/>
      <c r="AS160" s="22"/>
    </row>
    <row r="161" spans="1:45" x14ac:dyDescent="0.3">
      <c r="A161" s="22"/>
      <c r="B161" s="71"/>
      <c r="C161" s="22"/>
      <c r="D161" s="23"/>
      <c r="E161" s="22"/>
      <c r="F161" s="22"/>
      <c r="G161" s="22"/>
      <c r="H161" s="23"/>
      <c r="I161" s="22"/>
      <c r="J161" s="22"/>
      <c r="K161" s="22"/>
      <c r="L161" s="23"/>
      <c r="M161" s="71"/>
      <c r="N161" s="71"/>
      <c r="O161" s="22"/>
      <c r="P161" s="22"/>
      <c r="Q161" s="22"/>
      <c r="R161" s="71"/>
      <c r="AC161" s="22"/>
      <c r="AD161" s="22"/>
      <c r="AE161" s="22"/>
      <c r="AF161" s="22"/>
      <c r="AG161" s="22"/>
      <c r="AH161" s="22"/>
      <c r="AI161" s="22"/>
      <c r="AJ161" s="22"/>
      <c r="AK161" s="22"/>
      <c r="AL161" s="22"/>
      <c r="AM161" s="22"/>
      <c r="AN161" s="22"/>
      <c r="AO161" s="22"/>
      <c r="AP161" s="22"/>
      <c r="AQ161" s="22"/>
      <c r="AR161" s="22"/>
      <c r="AS161" s="22"/>
    </row>
    <row r="162" spans="1:45" x14ac:dyDescent="0.3">
      <c r="A162" s="22"/>
      <c r="B162" s="71"/>
      <c r="C162" s="22"/>
      <c r="D162" s="23"/>
      <c r="E162" s="22"/>
      <c r="F162" s="22"/>
      <c r="G162" s="22"/>
      <c r="H162" s="23"/>
      <c r="I162" s="22"/>
      <c r="J162" s="22"/>
      <c r="K162" s="22"/>
      <c r="L162" s="23"/>
      <c r="M162" s="71"/>
      <c r="N162" s="71"/>
      <c r="O162" s="22"/>
      <c r="P162" s="22"/>
      <c r="Q162" s="22"/>
      <c r="R162" s="71"/>
      <c r="AC162" s="22"/>
      <c r="AD162" s="22"/>
      <c r="AE162" s="22"/>
      <c r="AF162" s="22"/>
      <c r="AG162" s="22"/>
      <c r="AH162" s="22"/>
      <c r="AI162" s="22"/>
      <c r="AJ162" s="22"/>
      <c r="AK162" s="22"/>
      <c r="AL162" s="22"/>
      <c r="AM162" s="22"/>
      <c r="AN162" s="22"/>
      <c r="AO162" s="22"/>
      <c r="AP162" s="22"/>
      <c r="AQ162" s="22"/>
      <c r="AR162" s="22"/>
      <c r="AS162" s="22"/>
    </row>
    <row r="163" spans="1:45" x14ac:dyDescent="0.3">
      <c r="A163" s="22"/>
      <c r="B163" s="71"/>
      <c r="C163" s="22"/>
      <c r="D163" s="23"/>
      <c r="E163" s="22"/>
      <c r="F163" s="22"/>
      <c r="G163" s="22"/>
      <c r="H163" s="23"/>
      <c r="I163" s="22"/>
      <c r="J163" s="22"/>
      <c r="K163" s="22"/>
      <c r="L163" s="23"/>
      <c r="M163" s="71"/>
      <c r="N163" s="71"/>
      <c r="O163" s="22"/>
      <c r="P163" s="22"/>
      <c r="Q163" s="22"/>
      <c r="R163" s="71"/>
      <c r="AC163" s="22"/>
      <c r="AD163" s="22"/>
      <c r="AE163" s="22"/>
      <c r="AF163" s="22"/>
      <c r="AG163" s="22"/>
      <c r="AH163" s="22"/>
      <c r="AI163" s="22"/>
      <c r="AJ163" s="22"/>
      <c r="AK163" s="22"/>
      <c r="AL163" s="22"/>
      <c r="AM163" s="22"/>
      <c r="AN163" s="22"/>
      <c r="AO163" s="22"/>
      <c r="AP163" s="22"/>
      <c r="AQ163" s="22"/>
      <c r="AR163" s="22"/>
      <c r="AS163" s="22"/>
    </row>
    <row r="164" spans="1:45" x14ac:dyDescent="0.3">
      <c r="A164" s="22"/>
      <c r="B164" s="71"/>
      <c r="C164" s="22"/>
      <c r="D164" s="23"/>
      <c r="E164" s="22"/>
      <c r="F164" s="22"/>
      <c r="G164" s="22"/>
      <c r="H164" s="23"/>
      <c r="I164" s="22"/>
      <c r="J164" s="22"/>
      <c r="K164" s="22"/>
      <c r="L164" s="23"/>
      <c r="M164" s="71"/>
      <c r="N164" s="71"/>
      <c r="O164" s="22"/>
      <c r="P164" s="22"/>
      <c r="Q164" s="22"/>
      <c r="R164" s="71"/>
      <c r="AC164" s="22"/>
      <c r="AD164" s="22"/>
      <c r="AE164" s="22"/>
      <c r="AF164" s="22"/>
      <c r="AG164" s="22"/>
      <c r="AH164" s="22"/>
      <c r="AI164" s="22"/>
      <c r="AJ164" s="22"/>
      <c r="AK164" s="22"/>
      <c r="AL164" s="22"/>
      <c r="AM164" s="22"/>
      <c r="AN164" s="22"/>
      <c r="AO164" s="22"/>
      <c r="AP164" s="22"/>
      <c r="AQ164" s="22"/>
      <c r="AR164" s="22"/>
      <c r="AS164" s="22"/>
    </row>
    <row r="165" spans="1:45" x14ac:dyDescent="0.3">
      <c r="A165" s="22"/>
      <c r="B165" s="71"/>
      <c r="C165" s="22"/>
      <c r="D165" s="23"/>
      <c r="E165" s="22"/>
      <c r="F165" s="22"/>
      <c r="G165" s="22"/>
      <c r="H165" s="23"/>
      <c r="I165" s="22"/>
      <c r="J165" s="22"/>
      <c r="K165" s="22"/>
      <c r="L165" s="23"/>
      <c r="M165" s="71"/>
      <c r="N165" s="71"/>
      <c r="O165" s="22"/>
      <c r="P165" s="22"/>
      <c r="Q165" s="22"/>
      <c r="R165" s="71"/>
      <c r="AC165" s="22"/>
      <c r="AD165" s="22"/>
      <c r="AE165" s="22"/>
      <c r="AF165" s="22"/>
      <c r="AG165" s="22"/>
      <c r="AH165" s="22"/>
      <c r="AI165" s="22"/>
      <c r="AJ165" s="22"/>
      <c r="AK165" s="22"/>
      <c r="AL165" s="22"/>
      <c r="AM165" s="22"/>
      <c r="AN165" s="22"/>
      <c r="AO165" s="22"/>
      <c r="AP165" s="22"/>
      <c r="AQ165" s="22"/>
      <c r="AR165" s="22"/>
      <c r="AS165" s="22"/>
    </row>
    <row r="166" spans="1:45" x14ac:dyDescent="0.3">
      <c r="A166" s="22"/>
      <c r="B166" s="71"/>
      <c r="C166" s="22"/>
      <c r="D166" s="23"/>
      <c r="E166" s="22"/>
      <c r="F166" s="22"/>
      <c r="G166" s="22"/>
      <c r="H166" s="23"/>
      <c r="I166" s="22"/>
      <c r="J166" s="22"/>
      <c r="K166" s="22"/>
      <c r="L166" s="23"/>
      <c r="M166" s="71"/>
      <c r="N166" s="71"/>
      <c r="O166" s="22"/>
      <c r="P166" s="22"/>
      <c r="Q166" s="22"/>
      <c r="R166" s="71"/>
      <c r="AC166" s="22"/>
      <c r="AD166" s="22"/>
      <c r="AE166" s="22"/>
      <c r="AF166" s="22"/>
      <c r="AG166" s="22"/>
      <c r="AH166" s="22"/>
      <c r="AI166" s="22"/>
      <c r="AJ166" s="22"/>
      <c r="AK166" s="22"/>
      <c r="AL166" s="22"/>
      <c r="AM166" s="22"/>
      <c r="AN166" s="22"/>
      <c r="AO166" s="22"/>
      <c r="AP166" s="22"/>
      <c r="AQ166" s="22"/>
      <c r="AR166" s="22"/>
      <c r="AS166" s="22"/>
    </row>
    <row r="167" spans="1:45" x14ac:dyDescent="0.3">
      <c r="A167" s="22"/>
      <c r="B167" s="71"/>
      <c r="C167" s="22"/>
      <c r="D167" s="23"/>
      <c r="E167" s="22"/>
      <c r="F167" s="22"/>
      <c r="G167" s="22"/>
      <c r="H167" s="23"/>
      <c r="I167" s="22"/>
      <c r="J167" s="22"/>
      <c r="K167" s="22"/>
      <c r="L167" s="23"/>
      <c r="M167" s="71"/>
      <c r="N167" s="71"/>
      <c r="O167" s="22"/>
      <c r="P167" s="22"/>
      <c r="Q167" s="22"/>
      <c r="R167" s="71"/>
      <c r="AC167" s="22"/>
      <c r="AD167" s="22"/>
      <c r="AE167" s="22"/>
      <c r="AF167" s="22"/>
      <c r="AG167" s="22"/>
      <c r="AH167" s="22"/>
      <c r="AI167" s="22"/>
      <c r="AJ167" s="22"/>
      <c r="AK167" s="22"/>
      <c r="AL167" s="22"/>
      <c r="AM167" s="22"/>
      <c r="AN167" s="22"/>
      <c r="AO167" s="22"/>
      <c r="AP167" s="22"/>
      <c r="AQ167" s="22"/>
      <c r="AR167" s="22"/>
      <c r="AS167" s="22"/>
    </row>
    <row r="168" spans="1:45" x14ac:dyDescent="0.3">
      <c r="A168" s="22"/>
      <c r="B168" s="71"/>
      <c r="C168" s="22"/>
      <c r="D168" s="23"/>
      <c r="E168" s="22"/>
      <c r="F168" s="22"/>
      <c r="G168" s="22"/>
      <c r="H168" s="23"/>
      <c r="I168" s="22"/>
      <c r="J168" s="22"/>
      <c r="K168" s="22"/>
      <c r="L168" s="23"/>
      <c r="M168" s="71"/>
      <c r="N168" s="71"/>
      <c r="O168" s="22"/>
      <c r="P168" s="22"/>
      <c r="Q168" s="22"/>
      <c r="R168" s="71"/>
      <c r="AC168" s="22"/>
      <c r="AD168" s="22"/>
      <c r="AE168" s="22"/>
      <c r="AF168" s="22"/>
      <c r="AG168" s="22"/>
      <c r="AH168" s="22"/>
      <c r="AI168" s="22"/>
      <c r="AJ168" s="22"/>
      <c r="AK168" s="22"/>
      <c r="AL168" s="22"/>
      <c r="AM168" s="22"/>
      <c r="AN168" s="22"/>
      <c r="AO168" s="22"/>
      <c r="AP168" s="22"/>
      <c r="AQ168" s="22"/>
      <c r="AR168" s="22"/>
      <c r="AS168" s="22"/>
    </row>
    <row r="169" spans="1:45" x14ac:dyDescent="0.3">
      <c r="A169" s="22"/>
      <c r="B169" s="71"/>
      <c r="C169" s="22"/>
      <c r="D169" s="23"/>
      <c r="E169" s="22"/>
      <c r="F169" s="22"/>
      <c r="G169" s="22"/>
      <c r="H169" s="23"/>
      <c r="I169" s="22"/>
      <c r="J169" s="22"/>
      <c r="K169" s="22"/>
      <c r="L169" s="23"/>
      <c r="M169" s="71"/>
      <c r="N169" s="71"/>
      <c r="O169" s="22"/>
      <c r="P169" s="22"/>
      <c r="Q169" s="22"/>
      <c r="R169" s="71"/>
      <c r="AC169" s="22"/>
      <c r="AD169" s="22"/>
      <c r="AE169" s="22"/>
      <c r="AF169" s="22"/>
      <c r="AG169" s="22"/>
      <c r="AH169" s="22"/>
      <c r="AI169" s="22"/>
      <c r="AJ169" s="22"/>
      <c r="AK169" s="22"/>
      <c r="AL169" s="22"/>
      <c r="AM169" s="22"/>
      <c r="AN169" s="22"/>
      <c r="AO169" s="22"/>
      <c r="AP169" s="22"/>
      <c r="AQ169" s="22"/>
      <c r="AR169" s="22"/>
      <c r="AS169" s="22"/>
    </row>
    <row r="170" spans="1:45" x14ac:dyDescent="0.3">
      <c r="A170" s="22"/>
      <c r="B170" s="71"/>
      <c r="C170" s="22"/>
      <c r="D170" s="23"/>
      <c r="E170" s="22"/>
      <c r="F170" s="22"/>
      <c r="G170" s="22"/>
      <c r="H170" s="23"/>
      <c r="I170" s="22"/>
      <c r="J170" s="22"/>
      <c r="K170" s="22"/>
      <c r="L170" s="23"/>
      <c r="M170" s="71"/>
      <c r="N170" s="71"/>
      <c r="O170" s="22"/>
      <c r="P170" s="22"/>
      <c r="Q170" s="22"/>
      <c r="R170" s="71"/>
      <c r="AC170" s="22"/>
      <c r="AD170" s="22"/>
      <c r="AE170" s="22"/>
      <c r="AF170" s="22"/>
      <c r="AG170" s="22"/>
      <c r="AH170" s="22"/>
      <c r="AI170" s="22"/>
      <c r="AJ170" s="22"/>
      <c r="AK170" s="22"/>
      <c r="AL170" s="22"/>
      <c r="AM170" s="22"/>
      <c r="AN170" s="22"/>
      <c r="AO170" s="22"/>
      <c r="AP170" s="22"/>
      <c r="AQ170" s="22"/>
      <c r="AR170" s="22"/>
      <c r="AS170" s="22"/>
    </row>
    <row r="171" spans="1:45" x14ac:dyDescent="0.3">
      <c r="A171" s="22"/>
      <c r="B171" s="71"/>
      <c r="C171" s="22"/>
      <c r="D171" s="23"/>
      <c r="E171" s="22"/>
      <c r="F171" s="22"/>
      <c r="G171" s="22"/>
      <c r="H171" s="23"/>
      <c r="I171" s="22"/>
      <c r="J171" s="22"/>
      <c r="K171" s="22"/>
      <c r="L171" s="23"/>
      <c r="M171" s="71"/>
      <c r="N171" s="71"/>
      <c r="O171" s="22"/>
      <c r="P171" s="22"/>
      <c r="Q171" s="22"/>
      <c r="R171" s="71"/>
      <c r="AC171" s="22"/>
      <c r="AD171" s="22"/>
      <c r="AE171" s="22"/>
      <c r="AF171" s="22"/>
      <c r="AG171" s="22"/>
      <c r="AH171" s="22"/>
      <c r="AI171" s="22"/>
      <c r="AJ171" s="22"/>
      <c r="AK171" s="22"/>
      <c r="AL171" s="22"/>
      <c r="AM171" s="22"/>
      <c r="AN171" s="22"/>
      <c r="AO171" s="22"/>
      <c r="AP171" s="22"/>
      <c r="AQ171" s="22"/>
      <c r="AR171" s="22"/>
      <c r="AS171" s="22"/>
    </row>
    <row r="172" spans="1:45" x14ac:dyDescent="0.3">
      <c r="A172" s="22"/>
      <c r="B172" s="71"/>
      <c r="C172" s="22"/>
      <c r="D172" s="23"/>
      <c r="E172" s="22"/>
      <c r="F172" s="22"/>
      <c r="G172" s="22"/>
      <c r="H172" s="23"/>
      <c r="I172" s="22"/>
      <c r="J172" s="22"/>
      <c r="K172" s="22"/>
      <c r="L172" s="23"/>
      <c r="M172" s="71"/>
      <c r="N172" s="71"/>
      <c r="O172" s="22"/>
      <c r="P172" s="22"/>
      <c r="Q172" s="22"/>
      <c r="R172" s="71"/>
      <c r="AC172" s="22"/>
      <c r="AD172" s="22"/>
      <c r="AE172" s="22"/>
      <c r="AF172" s="22"/>
      <c r="AG172" s="22"/>
      <c r="AH172" s="22"/>
      <c r="AI172" s="22"/>
      <c r="AJ172" s="22"/>
      <c r="AK172" s="22"/>
      <c r="AL172" s="22"/>
      <c r="AM172" s="22"/>
      <c r="AN172" s="22"/>
      <c r="AO172" s="22"/>
      <c r="AP172" s="22"/>
      <c r="AQ172" s="22"/>
      <c r="AR172" s="22"/>
      <c r="AS172" s="22"/>
    </row>
    <row r="173" spans="1:45" x14ac:dyDescent="0.3">
      <c r="A173" s="22"/>
      <c r="B173" s="71"/>
      <c r="C173" s="22"/>
      <c r="D173" s="23"/>
      <c r="E173" s="22"/>
      <c r="F173" s="22"/>
      <c r="G173" s="22"/>
      <c r="H173" s="23"/>
      <c r="I173" s="22"/>
      <c r="J173" s="22"/>
      <c r="K173" s="22"/>
      <c r="L173" s="23"/>
      <c r="M173" s="71"/>
      <c r="N173" s="71"/>
      <c r="O173" s="22"/>
      <c r="P173" s="22"/>
      <c r="Q173" s="22"/>
      <c r="R173" s="71"/>
      <c r="AC173" s="22"/>
      <c r="AD173" s="22"/>
      <c r="AE173" s="22"/>
      <c r="AF173" s="22"/>
      <c r="AG173" s="22"/>
      <c r="AH173" s="22"/>
      <c r="AI173" s="22"/>
      <c r="AJ173" s="22"/>
      <c r="AK173" s="22"/>
      <c r="AL173" s="22"/>
      <c r="AM173" s="22"/>
      <c r="AN173" s="22"/>
      <c r="AO173" s="22"/>
      <c r="AP173" s="22"/>
      <c r="AQ173" s="22"/>
      <c r="AR173" s="22"/>
      <c r="AS173" s="22"/>
    </row>
    <row r="174" spans="1:45" x14ac:dyDescent="0.3">
      <c r="A174" s="22"/>
      <c r="B174" s="71"/>
      <c r="C174" s="22"/>
      <c r="D174" s="23"/>
      <c r="E174" s="22"/>
      <c r="F174" s="22"/>
      <c r="G174" s="22"/>
      <c r="H174" s="23"/>
      <c r="I174" s="22"/>
      <c r="J174" s="22"/>
      <c r="K174" s="22"/>
      <c r="L174" s="23"/>
      <c r="M174" s="71"/>
      <c r="N174" s="71"/>
      <c r="O174" s="22"/>
      <c r="P174" s="22"/>
      <c r="Q174" s="22"/>
      <c r="R174" s="71"/>
      <c r="AC174" s="22"/>
      <c r="AD174" s="22"/>
      <c r="AE174" s="22"/>
      <c r="AF174" s="22"/>
      <c r="AG174" s="22"/>
      <c r="AH174" s="22"/>
      <c r="AI174" s="22"/>
      <c r="AJ174" s="22"/>
      <c r="AK174" s="22"/>
      <c r="AL174" s="22"/>
      <c r="AM174" s="22"/>
      <c r="AN174" s="22"/>
      <c r="AO174" s="22"/>
      <c r="AP174" s="22"/>
      <c r="AQ174" s="22"/>
      <c r="AR174" s="22"/>
      <c r="AS174" s="22"/>
    </row>
    <row r="175" spans="1:45" x14ac:dyDescent="0.3">
      <c r="A175" s="22"/>
      <c r="B175" s="71"/>
      <c r="C175" s="22"/>
      <c r="D175" s="23"/>
      <c r="E175" s="22"/>
      <c r="F175" s="22"/>
      <c r="G175" s="22"/>
      <c r="H175" s="23"/>
      <c r="I175" s="22"/>
      <c r="J175" s="22"/>
      <c r="K175" s="22"/>
      <c r="L175" s="23"/>
      <c r="M175" s="71"/>
      <c r="N175" s="71"/>
      <c r="O175" s="22"/>
      <c r="P175" s="22"/>
      <c r="Q175" s="22"/>
      <c r="R175" s="71"/>
      <c r="AC175" s="22"/>
      <c r="AD175" s="22"/>
      <c r="AE175" s="22"/>
      <c r="AF175" s="22"/>
      <c r="AG175" s="22"/>
      <c r="AH175" s="22"/>
      <c r="AI175" s="22"/>
      <c r="AJ175" s="22"/>
      <c r="AK175" s="22"/>
      <c r="AL175" s="22"/>
      <c r="AM175" s="22"/>
      <c r="AN175" s="22"/>
      <c r="AO175" s="22"/>
      <c r="AP175" s="22"/>
      <c r="AQ175" s="22"/>
      <c r="AR175" s="22"/>
      <c r="AS175" s="22"/>
    </row>
    <row r="176" spans="1:45" x14ac:dyDescent="0.3">
      <c r="A176" s="22"/>
      <c r="B176" s="71"/>
      <c r="C176" s="22"/>
      <c r="D176" s="23"/>
      <c r="E176" s="22"/>
      <c r="F176" s="22"/>
      <c r="G176" s="22"/>
      <c r="H176" s="23"/>
      <c r="I176" s="22"/>
      <c r="J176" s="22"/>
      <c r="K176" s="22"/>
      <c r="L176" s="23"/>
      <c r="M176" s="71"/>
      <c r="N176" s="71"/>
      <c r="O176" s="22"/>
      <c r="P176" s="22"/>
      <c r="Q176" s="22"/>
      <c r="R176" s="71"/>
      <c r="AC176" s="22"/>
      <c r="AD176" s="22"/>
      <c r="AE176" s="22"/>
      <c r="AF176" s="22"/>
      <c r="AG176" s="22"/>
      <c r="AH176" s="22"/>
      <c r="AI176" s="22"/>
      <c r="AJ176" s="22"/>
      <c r="AK176" s="22"/>
      <c r="AL176" s="22"/>
      <c r="AM176" s="22"/>
      <c r="AN176" s="22"/>
      <c r="AO176" s="22"/>
      <c r="AP176" s="22"/>
      <c r="AQ176" s="22"/>
      <c r="AR176" s="22"/>
      <c r="AS176" s="22"/>
    </row>
    <row r="177" spans="1:45" x14ac:dyDescent="0.3">
      <c r="A177" s="22"/>
      <c r="B177" s="71"/>
      <c r="C177" s="22"/>
      <c r="D177" s="23"/>
      <c r="E177" s="22"/>
      <c r="F177" s="22"/>
      <c r="G177" s="22"/>
      <c r="H177" s="23"/>
      <c r="I177" s="22"/>
      <c r="J177" s="22"/>
      <c r="K177" s="22"/>
      <c r="L177" s="23"/>
      <c r="M177" s="71"/>
      <c r="N177" s="71"/>
      <c r="O177" s="22"/>
      <c r="P177" s="22"/>
      <c r="Q177" s="22"/>
      <c r="R177" s="71"/>
      <c r="AC177" s="22"/>
      <c r="AD177" s="22"/>
      <c r="AE177" s="22"/>
      <c r="AF177" s="22"/>
      <c r="AG177" s="22"/>
      <c r="AH177" s="22"/>
      <c r="AI177" s="22"/>
      <c r="AJ177" s="22"/>
      <c r="AK177" s="22"/>
      <c r="AL177" s="22"/>
      <c r="AM177" s="22"/>
      <c r="AN177" s="22"/>
      <c r="AO177" s="22"/>
      <c r="AP177" s="22"/>
      <c r="AQ177" s="22"/>
      <c r="AR177" s="22"/>
      <c r="AS177" s="22"/>
    </row>
    <row r="178" spans="1:45" x14ac:dyDescent="0.3">
      <c r="A178" s="22"/>
      <c r="B178" s="71"/>
      <c r="C178" s="22"/>
      <c r="D178" s="23"/>
      <c r="E178" s="22"/>
      <c r="F178" s="22"/>
      <c r="G178" s="22"/>
      <c r="H178" s="23"/>
      <c r="I178" s="22"/>
      <c r="J178" s="22"/>
      <c r="K178" s="22"/>
      <c r="L178" s="23"/>
      <c r="M178" s="71"/>
      <c r="N178" s="71"/>
      <c r="O178" s="22"/>
      <c r="P178" s="22"/>
      <c r="Q178" s="22"/>
      <c r="R178" s="71"/>
      <c r="AC178" s="22"/>
      <c r="AD178" s="22"/>
      <c r="AE178" s="22"/>
      <c r="AF178" s="22"/>
      <c r="AG178" s="22"/>
      <c r="AH178" s="22"/>
      <c r="AI178" s="22"/>
      <c r="AJ178" s="22"/>
      <c r="AK178" s="22"/>
      <c r="AL178" s="22"/>
      <c r="AM178" s="22"/>
      <c r="AN178" s="22"/>
      <c r="AO178" s="22"/>
      <c r="AP178" s="22"/>
      <c r="AQ178" s="22"/>
      <c r="AR178" s="22"/>
      <c r="AS178" s="22"/>
    </row>
    <row r="179" spans="1:45" x14ac:dyDescent="0.3">
      <c r="A179" s="22"/>
      <c r="B179" s="71"/>
      <c r="C179" s="22"/>
      <c r="D179" s="23"/>
      <c r="E179" s="22"/>
      <c r="F179" s="22"/>
      <c r="G179" s="22"/>
      <c r="H179" s="23"/>
      <c r="I179" s="22"/>
      <c r="J179" s="22"/>
      <c r="K179" s="22"/>
      <c r="L179" s="23"/>
      <c r="M179" s="71"/>
      <c r="N179" s="71"/>
      <c r="O179" s="22"/>
      <c r="P179" s="22"/>
      <c r="Q179" s="22"/>
      <c r="R179" s="71"/>
      <c r="AC179" s="22"/>
      <c r="AD179" s="22"/>
      <c r="AE179" s="22"/>
      <c r="AF179" s="22"/>
      <c r="AG179" s="22"/>
      <c r="AH179" s="22"/>
      <c r="AI179" s="22"/>
      <c r="AJ179" s="22"/>
      <c r="AK179" s="22"/>
      <c r="AL179" s="22"/>
      <c r="AM179" s="22"/>
      <c r="AN179" s="22"/>
      <c r="AO179" s="22"/>
      <c r="AP179" s="22"/>
      <c r="AQ179" s="22"/>
      <c r="AR179" s="22"/>
      <c r="AS179" s="22"/>
    </row>
    <row r="180" spans="1:45" x14ac:dyDescent="0.3">
      <c r="A180" s="22"/>
      <c r="B180" s="71"/>
      <c r="C180" s="22"/>
      <c r="D180" s="23"/>
      <c r="E180" s="22"/>
      <c r="F180" s="22"/>
      <c r="G180" s="22"/>
      <c r="H180" s="23"/>
      <c r="I180" s="22"/>
      <c r="J180" s="22"/>
      <c r="K180" s="22"/>
      <c r="L180" s="23"/>
      <c r="M180" s="71"/>
      <c r="N180" s="71"/>
      <c r="O180" s="22"/>
      <c r="P180" s="22"/>
      <c r="Q180" s="22"/>
      <c r="R180" s="71"/>
      <c r="AC180" s="22"/>
      <c r="AD180" s="22"/>
      <c r="AE180" s="22"/>
      <c r="AF180" s="22"/>
      <c r="AG180" s="22"/>
      <c r="AH180" s="22"/>
      <c r="AI180" s="22"/>
      <c r="AJ180" s="22"/>
      <c r="AK180" s="22"/>
      <c r="AL180" s="22"/>
      <c r="AM180" s="22"/>
      <c r="AN180" s="22"/>
      <c r="AO180" s="22"/>
      <c r="AP180" s="22"/>
      <c r="AQ180" s="22"/>
      <c r="AR180" s="22"/>
      <c r="AS180" s="22"/>
    </row>
    <row r="181" spans="1:45" x14ac:dyDescent="0.3">
      <c r="A181" s="22"/>
      <c r="B181" s="71"/>
      <c r="C181" s="22"/>
      <c r="D181" s="23"/>
      <c r="E181" s="22"/>
      <c r="F181" s="22"/>
      <c r="G181" s="22"/>
      <c r="H181" s="23"/>
      <c r="I181" s="22"/>
      <c r="J181" s="22"/>
      <c r="K181" s="22"/>
      <c r="L181" s="23"/>
      <c r="M181" s="71"/>
      <c r="N181" s="71"/>
      <c r="O181" s="22"/>
      <c r="P181" s="22"/>
      <c r="Q181" s="22"/>
      <c r="R181" s="71"/>
      <c r="AC181" s="22"/>
      <c r="AD181" s="22"/>
      <c r="AE181" s="22"/>
      <c r="AF181" s="22"/>
      <c r="AG181" s="22"/>
      <c r="AH181" s="22"/>
      <c r="AI181" s="22"/>
      <c r="AJ181" s="22"/>
      <c r="AK181" s="22"/>
      <c r="AL181" s="22"/>
      <c r="AM181" s="22"/>
      <c r="AN181" s="22"/>
      <c r="AO181" s="22"/>
      <c r="AP181" s="22"/>
      <c r="AQ181" s="22"/>
      <c r="AR181" s="22"/>
      <c r="AS181" s="22"/>
    </row>
    <row r="182" spans="1:45" x14ac:dyDescent="0.3">
      <c r="A182" s="22"/>
      <c r="B182" s="71"/>
      <c r="C182" s="22"/>
      <c r="D182" s="23"/>
      <c r="E182" s="22"/>
      <c r="F182" s="22"/>
      <c r="G182" s="22"/>
      <c r="H182" s="23"/>
      <c r="I182" s="22"/>
      <c r="J182" s="22"/>
      <c r="K182" s="22"/>
      <c r="L182" s="23"/>
      <c r="M182" s="71"/>
      <c r="N182" s="71"/>
      <c r="O182" s="22"/>
      <c r="P182" s="22"/>
      <c r="Q182" s="22"/>
      <c r="R182" s="71"/>
      <c r="AC182" s="22"/>
      <c r="AD182" s="22"/>
      <c r="AE182" s="22"/>
      <c r="AF182" s="22"/>
      <c r="AG182" s="22"/>
      <c r="AH182" s="22"/>
      <c r="AI182" s="22"/>
      <c r="AJ182" s="22"/>
      <c r="AK182" s="22"/>
      <c r="AL182" s="22"/>
      <c r="AM182" s="22"/>
      <c r="AN182" s="22"/>
      <c r="AO182" s="22"/>
      <c r="AP182" s="22"/>
      <c r="AQ182" s="22"/>
      <c r="AR182" s="22"/>
      <c r="AS182" s="22"/>
    </row>
    <row r="183" spans="1:45" x14ac:dyDescent="0.3">
      <c r="A183" s="22"/>
      <c r="B183" s="71"/>
      <c r="C183" s="22"/>
      <c r="D183" s="23"/>
      <c r="E183" s="22"/>
      <c r="F183" s="22"/>
      <c r="G183" s="22"/>
      <c r="H183" s="23"/>
      <c r="I183" s="22"/>
      <c r="J183" s="22"/>
      <c r="K183" s="22"/>
      <c r="L183" s="23"/>
      <c r="M183" s="71"/>
      <c r="N183" s="71"/>
      <c r="O183" s="22"/>
      <c r="P183" s="22"/>
      <c r="Q183" s="22"/>
      <c r="R183" s="71"/>
      <c r="AC183" s="22"/>
      <c r="AD183" s="22"/>
      <c r="AE183" s="22"/>
      <c r="AF183" s="22"/>
      <c r="AG183" s="22"/>
      <c r="AH183" s="22"/>
      <c r="AI183" s="22"/>
      <c r="AJ183" s="22"/>
      <c r="AK183" s="22"/>
      <c r="AL183" s="22"/>
      <c r="AM183" s="22"/>
      <c r="AN183" s="22"/>
      <c r="AO183" s="22"/>
      <c r="AP183" s="22"/>
      <c r="AQ183" s="22"/>
      <c r="AR183" s="22"/>
      <c r="AS183" s="22"/>
    </row>
    <row r="184" spans="1:45" x14ac:dyDescent="0.3">
      <c r="A184" s="22"/>
      <c r="B184" s="71"/>
      <c r="C184" s="22"/>
      <c r="D184" s="23"/>
      <c r="E184" s="22"/>
      <c r="F184" s="22"/>
      <c r="G184" s="22"/>
      <c r="H184" s="23"/>
      <c r="I184" s="22"/>
      <c r="J184" s="22"/>
      <c r="K184" s="22"/>
      <c r="L184" s="23"/>
      <c r="M184" s="71"/>
      <c r="N184" s="71"/>
      <c r="O184" s="22"/>
      <c r="P184" s="22"/>
      <c r="Q184" s="22"/>
      <c r="R184" s="71"/>
      <c r="AC184" s="22"/>
      <c r="AD184" s="22"/>
      <c r="AE184" s="22"/>
      <c r="AF184" s="22"/>
      <c r="AG184" s="22"/>
      <c r="AH184" s="22"/>
      <c r="AI184" s="22"/>
      <c r="AJ184" s="22"/>
      <c r="AK184" s="22"/>
      <c r="AL184" s="22"/>
      <c r="AM184" s="22"/>
      <c r="AN184" s="22"/>
      <c r="AO184" s="22"/>
      <c r="AP184" s="22"/>
      <c r="AQ184" s="22"/>
      <c r="AR184" s="22"/>
      <c r="AS184" s="22"/>
    </row>
    <row r="185" spans="1:45" x14ac:dyDescent="0.3">
      <c r="A185" s="22"/>
      <c r="B185" s="71"/>
      <c r="C185" s="22"/>
      <c r="D185" s="23"/>
      <c r="E185" s="22"/>
      <c r="F185" s="22"/>
      <c r="G185" s="22"/>
      <c r="H185" s="23"/>
      <c r="I185" s="22"/>
      <c r="J185" s="22"/>
      <c r="K185" s="22"/>
      <c r="L185" s="23"/>
      <c r="M185" s="71"/>
      <c r="N185" s="71"/>
      <c r="O185" s="22"/>
      <c r="P185" s="22"/>
      <c r="Q185" s="22"/>
      <c r="R185" s="71"/>
      <c r="AC185" s="22"/>
      <c r="AD185" s="22"/>
      <c r="AE185" s="22"/>
      <c r="AF185" s="22"/>
      <c r="AG185" s="22"/>
      <c r="AH185" s="22"/>
      <c r="AI185" s="22"/>
      <c r="AJ185" s="22"/>
      <c r="AK185" s="22"/>
      <c r="AL185" s="22"/>
      <c r="AM185" s="22"/>
      <c r="AN185" s="22"/>
      <c r="AO185" s="22"/>
      <c r="AP185" s="22"/>
      <c r="AQ185" s="22"/>
      <c r="AR185" s="22"/>
      <c r="AS185" s="22"/>
    </row>
    <row r="186" spans="1:45" x14ac:dyDescent="0.3">
      <c r="A186" s="22"/>
      <c r="B186" s="71"/>
      <c r="C186" s="22"/>
      <c r="D186" s="23"/>
      <c r="E186" s="22"/>
      <c r="F186" s="22"/>
      <c r="G186" s="22"/>
      <c r="H186" s="23"/>
      <c r="I186" s="22"/>
      <c r="J186" s="22"/>
      <c r="K186" s="22"/>
      <c r="L186" s="23"/>
      <c r="M186" s="71"/>
      <c r="N186" s="71"/>
      <c r="O186" s="22"/>
      <c r="P186" s="22"/>
      <c r="Q186" s="22"/>
      <c r="R186" s="71"/>
      <c r="AC186" s="22"/>
      <c r="AD186" s="22"/>
      <c r="AE186" s="22"/>
      <c r="AF186" s="22"/>
      <c r="AG186" s="22"/>
      <c r="AH186" s="22"/>
      <c r="AI186" s="22"/>
      <c r="AJ186" s="22"/>
      <c r="AK186" s="22"/>
      <c r="AL186" s="22"/>
      <c r="AM186" s="22"/>
      <c r="AN186" s="22"/>
      <c r="AO186" s="22"/>
      <c r="AP186" s="22"/>
      <c r="AQ186" s="22"/>
      <c r="AR186" s="22"/>
      <c r="AS186" s="22"/>
    </row>
    <row r="187" spans="1:45" x14ac:dyDescent="0.3">
      <c r="A187" s="22"/>
      <c r="B187" s="71"/>
      <c r="C187" s="22"/>
      <c r="D187" s="23"/>
      <c r="E187" s="22"/>
      <c r="F187" s="22"/>
      <c r="G187" s="22"/>
      <c r="H187" s="23"/>
      <c r="I187" s="22"/>
      <c r="J187" s="22"/>
      <c r="K187" s="22"/>
      <c r="L187" s="23"/>
      <c r="M187" s="71"/>
      <c r="N187" s="71"/>
      <c r="O187" s="22"/>
      <c r="P187" s="22"/>
      <c r="Q187" s="22"/>
      <c r="R187" s="71"/>
      <c r="AC187" s="22"/>
      <c r="AD187" s="22"/>
      <c r="AE187" s="22"/>
      <c r="AF187" s="22"/>
      <c r="AG187" s="22"/>
      <c r="AH187" s="22"/>
      <c r="AI187" s="22"/>
      <c r="AJ187" s="22"/>
      <c r="AK187" s="22"/>
      <c r="AL187" s="22"/>
      <c r="AM187" s="22"/>
      <c r="AN187" s="22"/>
      <c r="AO187" s="22"/>
      <c r="AP187" s="22"/>
      <c r="AQ187" s="22"/>
      <c r="AR187" s="22"/>
      <c r="AS187" s="22"/>
    </row>
    <row r="188" spans="1:45" x14ac:dyDescent="0.3">
      <c r="A188" s="22"/>
      <c r="B188" s="71"/>
      <c r="C188" s="22"/>
      <c r="D188" s="23"/>
      <c r="E188" s="22"/>
      <c r="F188" s="22"/>
      <c r="G188" s="22"/>
      <c r="H188" s="23"/>
      <c r="I188" s="22"/>
      <c r="J188" s="22"/>
      <c r="K188" s="22"/>
      <c r="L188" s="23"/>
      <c r="M188" s="71"/>
      <c r="N188" s="71"/>
      <c r="O188" s="22"/>
      <c r="P188" s="22"/>
      <c r="Q188" s="22"/>
      <c r="R188" s="71"/>
      <c r="AC188" s="22"/>
      <c r="AD188" s="22"/>
      <c r="AE188" s="22"/>
      <c r="AF188" s="22"/>
      <c r="AG188" s="22"/>
      <c r="AH188" s="22"/>
      <c r="AI188" s="22"/>
      <c r="AJ188" s="22"/>
      <c r="AK188" s="22"/>
      <c r="AL188" s="22"/>
      <c r="AM188" s="22"/>
      <c r="AN188" s="22"/>
      <c r="AO188" s="22"/>
      <c r="AP188" s="22"/>
      <c r="AQ188" s="22"/>
      <c r="AR188" s="22"/>
      <c r="AS188" s="22"/>
    </row>
    <row r="189" spans="1:45" x14ac:dyDescent="0.3">
      <c r="A189" s="22"/>
      <c r="B189" s="71"/>
      <c r="C189" s="22"/>
      <c r="D189" s="23"/>
      <c r="E189" s="22"/>
      <c r="F189" s="22"/>
      <c r="G189" s="22"/>
      <c r="H189" s="23"/>
      <c r="I189" s="22"/>
      <c r="J189" s="22"/>
      <c r="K189" s="22"/>
      <c r="L189" s="23"/>
      <c r="M189" s="71"/>
      <c r="N189" s="71"/>
      <c r="O189" s="22"/>
      <c r="P189" s="22"/>
      <c r="Q189" s="22"/>
      <c r="R189" s="71"/>
      <c r="AC189" s="22"/>
      <c r="AD189" s="22"/>
      <c r="AE189" s="22"/>
      <c r="AF189" s="22"/>
      <c r="AG189" s="22"/>
      <c r="AH189" s="22"/>
      <c r="AI189" s="22"/>
      <c r="AJ189" s="22"/>
      <c r="AK189" s="22"/>
      <c r="AL189" s="22"/>
      <c r="AM189" s="22"/>
      <c r="AN189" s="22"/>
      <c r="AO189" s="22"/>
      <c r="AP189" s="22"/>
      <c r="AQ189" s="22"/>
      <c r="AR189" s="22"/>
      <c r="AS189" s="22"/>
    </row>
    <row r="190" spans="1:45" x14ac:dyDescent="0.3">
      <c r="A190" s="22"/>
      <c r="B190" s="71"/>
      <c r="C190" s="22"/>
      <c r="D190" s="23"/>
      <c r="E190" s="22"/>
      <c r="F190" s="22"/>
      <c r="G190" s="22"/>
      <c r="H190" s="23"/>
      <c r="I190" s="22"/>
      <c r="J190" s="22"/>
      <c r="K190" s="22"/>
      <c r="L190" s="23"/>
      <c r="M190" s="71"/>
      <c r="N190" s="71"/>
      <c r="O190" s="22"/>
      <c r="P190" s="22"/>
      <c r="Q190" s="22"/>
      <c r="R190" s="71"/>
      <c r="AC190" s="22"/>
      <c r="AD190" s="22"/>
      <c r="AE190" s="22"/>
      <c r="AF190" s="22"/>
      <c r="AG190" s="22"/>
      <c r="AH190" s="22"/>
      <c r="AI190" s="22"/>
      <c r="AJ190" s="22"/>
      <c r="AK190" s="22"/>
      <c r="AL190" s="22"/>
      <c r="AM190" s="22"/>
      <c r="AN190" s="22"/>
      <c r="AO190" s="22"/>
      <c r="AP190" s="22"/>
      <c r="AQ190" s="22"/>
      <c r="AR190" s="22"/>
      <c r="AS190" s="22"/>
    </row>
    <row r="191" spans="1:45" x14ac:dyDescent="0.3">
      <c r="A191" s="22"/>
      <c r="B191" s="71"/>
      <c r="C191" s="22"/>
      <c r="D191" s="23"/>
      <c r="E191" s="22"/>
      <c r="F191" s="22"/>
      <c r="G191" s="22"/>
      <c r="H191" s="23"/>
      <c r="I191" s="22"/>
      <c r="J191" s="22"/>
      <c r="K191" s="22"/>
      <c r="L191" s="23"/>
      <c r="M191" s="71"/>
      <c r="N191" s="71"/>
      <c r="O191" s="22"/>
      <c r="P191" s="22"/>
      <c r="Q191" s="22"/>
      <c r="R191" s="71"/>
      <c r="AC191" s="22"/>
      <c r="AD191" s="22"/>
      <c r="AE191" s="22"/>
      <c r="AF191" s="22"/>
      <c r="AG191" s="22"/>
      <c r="AH191" s="22"/>
      <c r="AI191" s="22"/>
      <c r="AJ191" s="22"/>
      <c r="AK191" s="22"/>
      <c r="AL191" s="22"/>
      <c r="AM191" s="22"/>
      <c r="AN191" s="22"/>
      <c r="AO191" s="22"/>
      <c r="AP191" s="22"/>
      <c r="AQ191" s="22"/>
      <c r="AR191" s="22"/>
      <c r="AS191" s="22"/>
    </row>
    <row r="192" spans="1:45" x14ac:dyDescent="0.3">
      <c r="A192" s="22"/>
      <c r="B192" s="71"/>
      <c r="C192" s="22"/>
      <c r="D192" s="23"/>
      <c r="E192" s="22"/>
      <c r="F192" s="22"/>
      <c r="G192" s="22"/>
      <c r="H192" s="23"/>
      <c r="I192" s="22"/>
      <c r="J192" s="22"/>
      <c r="K192" s="22"/>
      <c r="L192" s="23"/>
      <c r="M192" s="71"/>
      <c r="N192" s="71"/>
      <c r="O192" s="22"/>
      <c r="P192" s="22"/>
      <c r="Q192" s="22"/>
      <c r="R192" s="71"/>
      <c r="AC192" s="22"/>
      <c r="AD192" s="22"/>
      <c r="AE192" s="22"/>
      <c r="AF192" s="22"/>
      <c r="AG192" s="22"/>
      <c r="AH192" s="22"/>
      <c r="AI192" s="22"/>
      <c r="AJ192" s="22"/>
      <c r="AK192" s="22"/>
      <c r="AL192" s="22"/>
      <c r="AM192" s="22"/>
      <c r="AN192" s="22"/>
      <c r="AO192" s="22"/>
      <c r="AP192" s="22"/>
      <c r="AQ192" s="22"/>
      <c r="AR192" s="22"/>
      <c r="AS192" s="22"/>
    </row>
    <row r="193" spans="1:45" x14ac:dyDescent="0.3">
      <c r="A193" s="22"/>
      <c r="B193" s="71"/>
      <c r="C193" s="22"/>
      <c r="D193" s="23"/>
      <c r="E193" s="22"/>
      <c r="F193" s="22"/>
      <c r="G193" s="22"/>
      <c r="H193" s="23"/>
      <c r="I193" s="22"/>
      <c r="J193" s="22"/>
      <c r="K193" s="22"/>
      <c r="L193" s="23"/>
      <c r="M193" s="71"/>
      <c r="N193" s="71"/>
      <c r="O193" s="22"/>
      <c r="P193" s="22"/>
      <c r="Q193" s="22"/>
      <c r="R193" s="71"/>
      <c r="AC193" s="22"/>
      <c r="AD193" s="22"/>
      <c r="AE193" s="22"/>
      <c r="AF193" s="22"/>
      <c r="AG193" s="22"/>
      <c r="AH193" s="22"/>
      <c r="AI193" s="22"/>
      <c r="AJ193" s="22"/>
      <c r="AK193" s="22"/>
      <c r="AL193" s="22"/>
      <c r="AM193" s="22"/>
      <c r="AN193" s="22"/>
      <c r="AO193" s="22"/>
      <c r="AP193" s="22"/>
      <c r="AQ193" s="22"/>
      <c r="AR193" s="22"/>
      <c r="AS193" s="22"/>
    </row>
    <row r="194" spans="1:45" x14ac:dyDescent="0.3">
      <c r="A194" s="22"/>
      <c r="B194" s="71"/>
      <c r="C194" s="22"/>
      <c r="D194" s="23"/>
      <c r="E194" s="22"/>
      <c r="F194" s="22"/>
      <c r="G194" s="22"/>
      <c r="H194" s="23"/>
      <c r="I194" s="22"/>
      <c r="J194" s="22"/>
      <c r="K194" s="22"/>
      <c r="L194" s="23"/>
      <c r="M194" s="71"/>
      <c r="N194" s="71"/>
      <c r="O194" s="22"/>
      <c r="P194" s="22"/>
      <c r="Q194" s="22"/>
      <c r="R194" s="71"/>
      <c r="AC194" s="22"/>
      <c r="AD194" s="22"/>
      <c r="AE194" s="22"/>
      <c r="AF194" s="22"/>
      <c r="AG194" s="22"/>
      <c r="AH194" s="22"/>
      <c r="AI194" s="22"/>
      <c r="AJ194" s="22"/>
      <c r="AK194" s="22"/>
      <c r="AL194" s="22"/>
      <c r="AM194" s="22"/>
      <c r="AN194" s="22"/>
      <c r="AO194" s="22"/>
      <c r="AP194" s="22"/>
      <c r="AQ194" s="22"/>
      <c r="AR194" s="22"/>
      <c r="AS194" s="22"/>
    </row>
    <row r="195" spans="1:45" x14ac:dyDescent="0.3">
      <c r="A195" s="22"/>
      <c r="B195" s="71"/>
      <c r="C195" s="22"/>
      <c r="D195" s="23"/>
      <c r="E195" s="22"/>
      <c r="F195" s="22"/>
      <c r="G195" s="22"/>
      <c r="H195" s="23"/>
      <c r="I195" s="22"/>
      <c r="J195" s="22"/>
      <c r="K195" s="22"/>
      <c r="L195" s="23"/>
      <c r="M195" s="71"/>
      <c r="N195" s="71"/>
      <c r="O195" s="22"/>
      <c r="P195" s="22"/>
      <c r="Q195" s="22"/>
      <c r="R195" s="71"/>
      <c r="AC195" s="22"/>
      <c r="AD195" s="22"/>
      <c r="AE195" s="22"/>
      <c r="AF195" s="22"/>
      <c r="AG195" s="22"/>
      <c r="AH195" s="22"/>
      <c r="AI195" s="22"/>
      <c r="AJ195" s="22"/>
      <c r="AK195" s="22"/>
      <c r="AL195" s="22"/>
      <c r="AM195" s="22"/>
      <c r="AN195" s="22"/>
      <c r="AO195" s="22"/>
      <c r="AP195" s="22"/>
      <c r="AQ195" s="22"/>
      <c r="AR195" s="22"/>
      <c r="AS195" s="22"/>
    </row>
    <row r="196" spans="1:45" x14ac:dyDescent="0.3">
      <c r="A196" s="22"/>
      <c r="B196" s="71"/>
      <c r="C196" s="22"/>
      <c r="D196" s="23"/>
      <c r="E196" s="22"/>
      <c r="F196" s="22"/>
      <c r="G196" s="22"/>
      <c r="H196" s="23"/>
      <c r="I196" s="22"/>
      <c r="J196" s="22"/>
      <c r="K196" s="22"/>
      <c r="L196" s="23"/>
      <c r="M196" s="71"/>
      <c r="N196" s="71"/>
      <c r="O196" s="22"/>
      <c r="P196" s="22"/>
      <c r="Q196" s="22"/>
      <c r="R196" s="71"/>
      <c r="AC196" s="22"/>
      <c r="AD196" s="22"/>
      <c r="AE196" s="22"/>
      <c r="AF196" s="22"/>
      <c r="AG196" s="22"/>
      <c r="AH196" s="22"/>
      <c r="AI196" s="22"/>
      <c r="AJ196" s="22"/>
      <c r="AK196" s="22"/>
      <c r="AL196" s="22"/>
      <c r="AM196" s="22"/>
      <c r="AN196" s="22"/>
      <c r="AO196" s="22"/>
      <c r="AP196" s="22"/>
      <c r="AQ196" s="22"/>
      <c r="AR196" s="22"/>
      <c r="AS196" s="22"/>
    </row>
    <row r="197" spans="1:45" x14ac:dyDescent="0.3">
      <c r="A197" s="22"/>
      <c r="B197" s="71"/>
      <c r="C197" s="22"/>
      <c r="D197" s="23"/>
      <c r="E197" s="22"/>
      <c r="F197" s="22"/>
      <c r="G197" s="22"/>
      <c r="H197" s="23"/>
      <c r="I197" s="22"/>
      <c r="J197" s="22"/>
      <c r="K197" s="22"/>
      <c r="L197" s="23"/>
      <c r="M197" s="71"/>
      <c r="N197" s="71"/>
      <c r="O197" s="22"/>
      <c r="P197" s="22"/>
      <c r="Q197" s="22"/>
      <c r="R197" s="71"/>
      <c r="AC197" s="22"/>
      <c r="AD197" s="22"/>
      <c r="AE197" s="22"/>
      <c r="AF197" s="22"/>
      <c r="AG197" s="22"/>
      <c r="AH197" s="22"/>
      <c r="AI197" s="22"/>
      <c r="AJ197" s="22"/>
      <c r="AK197" s="22"/>
      <c r="AL197" s="22"/>
      <c r="AM197" s="22"/>
      <c r="AN197" s="22"/>
      <c r="AO197" s="22"/>
      <c r="AP197" s="22"/>
      <c r="AQ197" s="22"/>
      <c r="AR197" s="22"/>
      <c r="AS197" s="22"/>
    </row>
    <row r="198" spans="1:45" x14ac:dyDescent="0.3">
      <c r="A198" s="22"/>
      <c r="B198" s="71"/>
      <c r="C198" s="22"/>
      <c r="D198" s="23"/>
      <c r="E198" s="22"/>
      <c r="F198" s="22"/>
      <c r="G198" s="22"/>
      <c r="H198" s="23"/>
      <c r="I198" s="22"/>
      <c r="J198" s="22"/>
      <c r="K198" s="22"/>
      <c r="L198" s="23"/>
      <c r="M198" s="71"/>
      <c r="N198" s="71"/>
      <c r="O198" s="22"/>
      <c r="P198" s="22"/>
      <c r="Q198" s="22"/>
      <c r="R198" s="71"/>
      <c r="AC198" s="22"/>
      <c r="AD198" s="22"/>
      <c r="AE198" s="22"/>
      <c r="AF198" s="22"/>
      <c r="AG198" s="22"/>
      <c r="AH198" s="22"/>
      <c r="AI198" s="22"/>
      <c r="AJ198" s="22"/>
      <c r="AK198" s="22"/>
      <c r="AL198" s="22"/>
      <c r="AM198" s="22"/>
      <c r="AN198" s="22"/>
      <c r="AO198" s="22"/>
      <c r="AP198" s="22"/>
      <c r="AQ198" s="22"/>
      <c r="AR198" s="22"/>
      <c r="AS198" s="22"/>
    </row>
    <row r="199" spans="1:45" x14ac:dyDescent="0.3">
      <c r="A199" s="22"/>
      <c r="B199" s="71"/>
      <c r="C199" s="22"/>
      <c r="D199" s="23"/>
      <c r="E199" s="22"/>
      <c r="F199" s="22"/>
      <c r="G199" s="22"/>
      <c r="H199" s="23"/>
      <c r="I199" s="22"/>
      <c r="J199" s="22"/>
      <c r="K199" s="22"/>
      <c r="L199" s="23"/>
      <c r="M199" s="71"/>
      <c r="N199" s="71"/>
      <c r="O199" s="22"/>
      <c r="P199" s="22"/>
      <c r="Q199" s="22"/>
      <c r="R199" s="71"/>
      <c r="AC199" s="22"/>
      <c r="AD199" s="22"/>
      <c r="AE199" s="22"/>
      <c r="AF199" s="22"/>
      <c r="AG199" s="22"/>
      <c r="AH199" s="22"/>
      <c r="AI199" s="22"/>
      <c r="AJ199" s="22"/>
      <c r="AK199" s="22"/>
      <c r="AL199" s="22"/>
      <c r="AM199" s="22"/>
      <c r="AN199" s="22"/>
      <c r="AO199" s="22"/>
      <c r="AP199" s="22"/>
      <c r="AQ199" s="22"/>
      <c r="AR199" s="22"/>
      <c r="AS199" s="22"/>
    </row>
    <row r="200" spans="1:45" x14ac:dyDescent="0.3">
      <c r="A200" s="22"/>
      <c r="B200" s="71"/>
      <c r="C200" s="22"/>
      <c r="D200" s="23"/>
      <c r="E200" s="22"/>
      <c r="F200" s="22"/>
      <c r="G200" s="22"/>
      <c r="H200" s="23"/>
      <c r="I200" s="22"/>
      <c r="J200" s="22"/>
      <c r="K200" s="22"/>
      <c r="L200" s="23"/>
      <c r="M200" s="71"/>
      <c r="N200" s="71"/>
      <c r="O200" s="22"/>
      <c r="P200" s="22"/>
      <c r="Q200" s="22"/>
      <c r="R200" s="71"/>
      <c r="AC200" s="22"/>
      <c r="AD200" s="22"/>
      <c r="AE200" s="22"/>
      <c r="AF200" s="22"/>
      <c r="AG200" s="22"/>
      <c r="AH200" s="22"/>
      <c r="AI200" s="22"/>
      <c r="AJ200" s="22"/>
      <c r="AK200" s="22"/>
      <c r="AL200" s="22"/>
      <c r="AM200" s="22"/>
      <c r="AN200" s="22"/>
      <c r="AO200" s="22"/>
      <c r="AP200" s="22"/>
      <c r="AQ200" s="22"/>
      <c r="AR200" s="22"/>
      <c r="AS200" s="22"/>
    </row>
    <row r="201" spans="1:45" x14ac:dyDescent="0.3">
      <c r="A201" s="22"/>
      <c r="B201" s="71"/>
      <c r="C201" s="22"/>
      <c r="D201" s="23"/>
      <c r="E201" s="22"/>
      <c r="F201" s="22"/>
      <c r="G201" s="22"/>
      <c r="H201" s="23"/>
      <c r="I201" s="22"/>
      <c r="J201" s="22"/>
      <c r="K201" s="22"/>
      <c r="L201" s="23"/>
      <c r="M201" s="71"/>
      <c r="N201" s="71"/>
      <c r="O201" s="22"/>
      <c r="P201" s="22"/>
      <c r="Q201" s="22"/>
      <c r="R201" s="71"/>
      <c r="AC201" s="22"/>
      <c r="AD201" s="22"/>
      <c r="AE201" s="22"/>
      <c r="AF201" s="22"/>
      <c r="AG201" s="22"/>
      <c r="AH201" s="22"/>
      <c r="AI201" s="22"/>
      <c r="AJ201" s="22"/>
      <c r="AK201" s="22"/>
      <c r="AL201" s="22"/>
      <c r="AM201" s="22"/>
      <c r="AN201" s="22"/>
      <c r="AO201" s="22"/>
      <c r="AP201" s="22"/>
      <c r="AQ201" s="22"/>
      <c r="AR201" s="22"/>
      <c r="AS201" s="22"/>
    </row>
    <row r="202" spans="1:45" x14ac:dyDescent="0.3">
      <c r="A202" s="22"/>
      <c r="B202" s="71"/>
      <c r="C202" s="22"/>
      <c r="D202" s="23"/>
      <c r="E202" s="22"/>
      <c r="F202" s="22"/>
      <c r="G202" s="22"/>
      <c r="H202" s="23"/>
      <c r="I202" s="22"/>
      <c r="J202" s="22"/>
      <c r="K202" s="22"/>
      <c r="L202" s="23"/>
      <c r="M202" s="71"/>
      <c r="N202" s="71"/>
      <c r="O202" s="22"/>
      <c r="P202" s="22"/>
      <c r="Q202" s="22"/>
      <c r="R202" s="71"/>
      <c r="AC202" s="22"/>
      <c r="AD202" s="22"/>
      <c r="AE202" s="22"/>
      <c r="AF202" s="22"/>
      <c r="AG202" s="22"/>
      <c r="AH202" s="22"/>
      <c r="AI202" s="22"/>
      <c r="AJ202" s="22"/>
      <c r="AK202" s="22"/>
      <c r="AL202" s="22"/>
      <c r="AM202" s="22"/>
      <c r="AN202" s="22"/>
      <c r="AO202" s="22"/>
      <c r="AP202" s="22"/>
      <c r="AQ202" s="22"/>
      <c r="AR202" s="22"/>
      <c r="AS202" s="22"/>
    </row>
    <row r="203" spans="1:45" x14ac:dyDescent="0.3">
      <c r="A203" s="22"/>
      <c r="B203" s="71"/>
      <c r="C203" s="22"/>
      <c r="D203" s="23"/>
      <c r="E203" s="22"/>
      <c r="F203" s="22"/>
      <c r="G203" s="22"/>
      <c r="H203" s="23"/>
      <c r="I203" s="22"/>
      <c r="J203" s="22"/>
      <c r="K203" s="22"/>
      <c r="L203" s="23"/>
      <c r="M203" s="71"/>
      <c r="N203" s="71"/>
      <c r="O203" s="22"/>
      <c r="P203" s="22"/>
      <c r="Q203" s="22"/>
      <c r="R203" s="71"/>
      <c r="AC203" s="22"/>
      <c r="AD203" s="22"/>
      <c r="AE203" s="22"/>
      <c r="AF203" s="22"/>
      <c r="AG203" s="22"/>
      <c r="AH203" s="22"/>
      <c r="AI203" s="22"/>
      <c r="AJ203" s="22"/>
      <c r="AK203" s="22"/>
      <c r="AL203" s="22"/>
      <c r="AM203" s="22"/>
      <c r="AN203" s="22"/>
      <c r="AO203" s="22"/>
      <c r="AP203" s="22"/>
      <c r="AQ203" s="22"/>
      <c r="AR203" s="22"/>
      <c r="AS203" s="22"/>
    </row>
    <row r="204" spans="1:45" x14ac:dyDescent="0.3">
      <c r="A204" s="22"/>
      <c r="B204" s="71"/>
      <c r="C204" s="22"/>
      <c r="D204" s="23"/>
      <c r="E204" s="22"/>
      <c r="F204" s="22"/>
      <c r="G204" s="22"/>
      <c r="H204" s="23"/>
      <c r="I204" s="22"/>
      <c r="J204" s="22"/>
      <c r="K204" s="22"/>
      <c r="L204" s="23"/>
      <c r="M204" s="71"/>
      <c r="N204" s="71"/>
      <c r="O204" s="22"/>
      <c r="P204" s="22"/>
      <c r="Q204" s="22"/>
      <c r="R204" s="71"/>
      <c r="AC204" s="22"/>
      <c r="AD204" s="22"/>
      <c r="AE204" s="22"/>
      <c r="AF204" s="22"/>
      <c r="AG204" s="22"/>
      <c r="AH204" s="22"/>
      <c r="AI204" s="22"/>
      <c r="AJ204" s="22"/>
      <c r="AK204" s="22"/>
      <c r="AL204" s="22"/>
      <c r="AM204" s="22"/>
      <c r="AN204" s="22"/>
      <c r="AO204" s="22"/>
      <c r="AP204" s="22"/>
      <c r="AQ204" s="22"/>
      <c r="AR204" s="22"/>
      <c r="AS204" s="22"/>
    </row>
    <row r="205" spans="1:45" x14ac:dyDescent="0.3">
      <c r="A205" s="22"/>
      <c r="B205" s="71"/>
      <c r="C205" s="22"/>
      <c r="D205" s="23"/>
      <c r="E205" s="22"/>
      <c r="F205" s="22"/>
      <c r="G205" s="22"/>
      <c r="H205" s="23"/>
      <c r="I205" s="22"/>
      <c r="J205" s="22"/>
      <c r="K205" s="22"/>
      <c r="L205" s="23"/>
      <c r="M205" s="71"/>
      <c r="N205" s="71"/>
      <c r="O205" s="22"/>
      <c r="P205" s="22"/>
      <c r="Q205" s="22"/>
      <c r="R205" s="71"/>
      <c r="AC205" s="22"/>
      <c r="AD205" s="22"/>
      <c r="AE205" s="22"/>
      <c r="AF205" s="22"/>
      <c r="AG205" s="22"/>
      <c r="AH205" s="22"/>
      <c r="AI205" s="22"/>
      <c r="AJ205" s="22"/>
      <c r="AK205" s="22"/>
      <c r="AL205" s="22"/>
      <c r="AM205" s="22"/>
      <c r="AN205" s="22"/>
      <c r="AO205" s="22"/>
      <c r="AP205" s="22"/>
      <c r="AQ205" s="22"/>
      <c r="AR205" s="22"/>
      <c r="AS205" s="22"/>
    </row>
    <row r="206" spans="1:45" x14ac:dyDescent="0.3">
      <c r="A206" s="22"/>
      <c r="B206" s="71"/>
      <c r="C206" s="22"/>
      <c r="D206" s="23"/>
      <c r="E206" s="22"/>
      <c r="F206" s="22"/>
      <c r="G206" s="22"/>
      <c r="H206" s="23"/>
      <c r="I206" s="22"/>
      <c r="J206" s="22"/>
      <c r="K206" s="22"/>
      <c r="L206" s="23"/>
      <c r="M206" s="71"/>
      <c r="N206" s="71"/>
      <c r="O206" s="22"/>
      <c r="P206" s="22"/>
      <c r="Q206" s="22"/>
      <c r="R206" s="71"/>
      <c r="AC206" s="22"/>
      <c r="AD206" s="22"/>
      <c r="AE206" s="22"/>
      <c r="AF206" s="22"/>
      <c r="AG206" s="22"/>
      <c r="AH206" s="22"/>
      <c r="AI206" s="22"/>
      <c r="AJ206" s="22"/>
      <c r="AK206" s="22"/>
      <c r="AL206" s="22"/>
      <c r="AM206" s="22"/>
      <c r="AN206" s="22"/>
      <c r="AO206" s="22"/>
      <c r="AP206" s="22"/>
      <c r="AQ206" s="22"/>
      <c r="AR206" s="22"/>
      <c r="AS206" s="22"/>
    </row>
    <row r="207" spans="1:45" x14ac:dyDescent="0.3">
      <c r="A207" s="22"/>
      <c r="B207" s="71"/>
      <c r="C207" s="22"/>
      <c r="D207" s="23"/>
      <c r="E207" s="22"/>
      <c r="F207" s="22"/>
      <c r="G207" s="22"/>
      <c r="H207" s="23"/>
      <c r="I207" s="22"/>
      <c r="J207" s="22"/>
      <c r="K207" s="22"/>
      <c r="L207" s="23"/>
      <c r="M207" s="71"/>
      <c r="N207" s="71"/>
      <c r="O207" s="22"/>
      <c r="P207" s="22"/>
      <c r="Q207" s="22"/>
      <c r="R207" s="71"/>
      <c r="AC207" s="22"/>
      <c r="AD207" s="22"/>
      <c r="AE207" s="22"/>
      <c r="AF207" s="22"/>
      <c r="AG207" s="22"/>
      <c r="AH207" s="22"/>
      <c r="AI207" s="22"/>
      <c r="AJ207" s="22"/>
      <c r="AK207" s="22"/>
      <c r="AL207" s="22"/>
      <c r="AM207" s="22"/>
      <c r="AN207" s="22"/>
      <c r="AO207" s="22"/>
      <c r="AP207" s="22"/>
      <c r="AQ207" s="22"/>
      <c r="AR207" s="22"/>
      <c r="AS207" s="22"/>
    </row>
    <row r="208" spans="1:45" x14ac:dyDescent="0.3">
      <c r="A208" s="22"/>
      <c r="B208" s="71"/>
      <c r="C208" s="22"/>
      <c r="D208" s="23"/>
      <c r="E208" s="22"/>
      <c r="F208" s="22"/>
      <c r="G208" s="22"/>
      <c r="H208" s="23"/>
      <c r="I208" s="22"/>
      <c r="J208" s="22"/>
      <c r="K208" s="22"/>
      <c r="L208" s="23"/>
      <c r="M208" s="71"/>
      <c r="N208" s="71"/>
      <c r="O208" s="22"/>
      <c r="P208" s="22"/>
      <c r="Q208" s="22"/>
      <c r="R208" s="71"/>
      <c r="AC208" s="22"/>
      <c r="AD208" s="22"/>
      <c r="AE208" s="22"/>
      <c r="AF208" s="22"/>
      <c r="AG208" s="22"/>
      <c r="AH208" s="22"/>
      <c r="AI208" s="22"/>
      <c r="AJ208" s="22"/>
      <c r="AK208" s="22"/>
      <c r="AL208" s="22"/>
      <c r="AM208" s="22"/>
      <c r="AN208" s="22"/>
      <c r="AO208" s="22"/>
      <c r="AP208" s="22"/>
      <c r="AQ208" s="22"/>
      <c r="AR208" s="22"/>
      <c r="AS208" s="22"/>
    </row>
    <row r="209" spans="1:45" x14ac:dyDescent="0.3">
      <c r="A209" s="22"/>
      <c r="B209" s="71"/>
      <c r="C209" s="22"/>
      <c r="D209" s="23"/>
      <c r="E209" s="22"/>
      <c r="F209" s="22"/>
      <c r="G209" s="22"/>
      <c r="H209" s="23"/>
      <c r="I209" s="22"/>
      <c r="J209" s="22"/>
      <c r="K209" s="22"/>
      <c r="L209" s="23"/>
      <c r="M209" s="71"/>
      <c r="N209" s="71"/>
      <c r="O209" s="22"/>
      <c r="P209" s="22"/>
      <c r="Q209" s="22"/>
      <c r="R209" s="71"/>
      <c r="AC209" s="22"/>
      <c r="AD209" s="22"/>
      <c r="AE209" s="22"/>
      <c r="AF209" s="22"/>
      <c r="AG209" s="22"/>
      <c r="AH209" s="22"/>
      <c r="AI209" s="22"/>
      <c r="AJ209" s="22"/>
      <c r="AK209" s="22"/>
      <c r="AL209" s="22"/>
      <c r="AM209" s="22"/>
      <c r="AN209" s="22"/>
      <c r="AO209" s="22"/>
      <c r="AP209" s="22"/>
      <c r="AQ209" s="22"/>
      <c r="AR209" s="22"/>
      <c r="AS209" s="22"/>
    </row>
    <row r="210" spans="1:45" x14ac:dyDescent="0.3">
      <c r="A210" s="22"/>
      <c r="B210" s="71"/>
      <c r="C210" s="22"/>
      <c r="D210" s="23"/>
      <c r="E210" s="22"/>
      <c r="F210" s="22"/>
      <c r="G210" s="22"/>
      <c r="H210" s="23"/>
      <c r="I210" s="22"/>
      <c r="J210" s="22"/>
      <c r="K210" s="22"/>
      <c r="L210" s="23"/>
      <c r="M210" s="71"/>
      <c r="N210" s="71"/>
      <c r="O210" s="22"/>
      <c r="P210" s="22"/>
      <c r="Q210" s="22"/>
      <c r="R210" s="71"/>
      <c r="AC210" s="22"/>
      <c r="AD210" s="22"/>
      <c r="AE210" s="22"/>
      <c r="AF210" s="22"/>
      <c r="AG210" s="22"/>
      <c r="AH210" s="22"/>
      <c r="AI210" s="22"/>
      <c r="AJ210" s="22"/>
      <c r="AK210" s="22"/>
      <c r="AL210" s="22"/>
      <c r="AM210" s="22"/>
      <c r="AN210" s="22"/>
      <c r="AO210" s="22"/>
      <c r="AP210" s="22"/>
      <c r="AQ210" s="22"/>
      <c r="AR210" s="22"/>
      <c r="AS210" s="22"/>
    </row>
    <row r="211" spans="1:45" x14ac:dyDescent="0.3">
      <c r="A211" s="22"/>
      <c r="B211" s="71"/>
      <c r="C211" s="22"/>
      <c r="D211" s="23"/>
      <c r="E211" s="22"/>
      <c r="F211" s="22"/>
      <c r="G211" s="22"/>
      <c r="H211" s="23"/>
      <c r="I211" s="22"/>
      <c r="J211" s="22"/>
      <c r="K211" s="22"/>
      <c r="L211" s="23"/>
      <c r="M211" s="71"/>
      <c r="N211" s="71"/>
      <c r="O211" s="22"/>
      <c r="P211" s="22"/>
      <c r="Q211" s="22"/>
      <c r="R211" s="71"/>
      <c r="AC211" s="22"/>
      <c r="AD211" s="22"/>
      <c r="AE211" s="22"/>
      <c r="AF211" s="22"/>
      <c r="AG211" s="22"/>
      <c r="AH211" s="22"/>
      <c r="AI211" s="22"/>
      <c r="AJ211" s="22"/>
      <c r="AK211" s="22"/>
      <c r="AL211" s="22"/>
      <c r="AM211" s="22"/>
      <c r="AN211" s="22"/>
      <c r="AO211" s="22"/>
      <c r="AP211" s="22"/>
      <c r="AQ211" s="22"/>
      <c r="AR211" s="22"/>
      <c r="AS211" s="22"/>
    </row>
    <row r="212" spans="1:45" x14ac:dyDescent="0.3">
      <c r="A212" s="22"/>
      <c r="B212" s="71"/>
      <c r="C212" s="22"/>
      <c r="D212" s="23"/>
      <c r="E212" s="22"/>
      <c r="F212" s="22"/>
      <c r="G212" s="22"/>
      <c r="H212" s="23"/>
      <c r="I212" s="22"/>
      <c r="J212" s="22"/>
      <c r="K212" s="22"/>
      <c r="L212" s="23"/>
      <c r="M212" s="71"/>
      <c r="N212" s="71"/>
      <c r="O212" s="22"/>
      <c r="P212" s="22"/>
      <c r="Q212" s="22"/>
      <c r="R212" s="71"/>
      <c r="AC212" s="22"/>
      <c r="AD212" s="22"/>
      <c r="AE212" s="22"/>
      <c r="AF212" s="22"/>
      <c r="AG212" s="22"/>
      <c r="AH212" s="22"/>
      <c r="AI212" s="22"/>
      <c r="AJ212" s="22"/>
      <c r="AK212" s="22"/>
      <c r="AL212" s="22"/>
      <c r="AM212" s="22"/>
      <c r="AN212" s="22"/>
      <c r="AO212" s="22"/>
      <c r="AP212" s="22"/>
      <c r="AQ212" s="22"/>
      <c r="AR212" s="22"/>
      <c r="AS212" s="22"/>
    </row>
    <row r="213" spans="1:45" x14ac:dyDescent="0.3">
      <c r="A213" s="22"/>
      <c r="B213" s="71"/>
      <c r="C213" s="22"/>
      <c r="D213" s="23"/>
      <c r="E213" s="22"/>
      <c r="F213" s="22"/>
      <c r="G213" s="22"/>
      <c r="H213" s="23"/>
      <c r="I213" s="22"/>
      <c r="J213" s="22"/>
      <c r="K213" s="22"/>
      <c r="L213" s="23"/>
      <c r="M213" s="71"/>
      <c r="N213" s="71"/>
      <c r="O213" s="22"/>
      <c r="P213" s="22"/>
      <c r="Q213" s="22"/>
      <c r="R213" s="71"/>
      <c r="AC213" s="22"/>
      <c r="AD213" s="22"/>
      <c r="AE213" s="22"/>
      <c r="AF213" s="22"/>
      <c r="AG213" s="22"/>
      <c r="AH213" s="22"/>
      <c r="AI213" s="22"/>
      <c r="AJ213" s="22"/>
      <c r="AK213" s="22"/>
      <c r="AL213" s="22"/>
      <c r="AM213" s="22"/>
      <c r="AN213" s="22"/>
      <c r="AO213" s="22"/>
      <c r="AP213" s="22"/>
      <c r="AQ213" s="22"/>
      <c r="AR213" s="22"/>
      <c r="AS213" s="22"/>
    </row>
    <row r="214" spans="1:45" x14ac:dyDescent="0.3">
      <c r="A214" s="22"/>
      <c r="B214" s="71"/>
      <c r="C214" s="22"/>
      <c r="D214" s="23"/>
      <c r="E214" s="22"/>
      <c r="F214" s="22"/>
      <c r="G214" s="22"/>
      <c r="H214" s="23"/>
      <c r="I214" s="22"/>
      <c r="J214" s="22"/>
      <c r="K214" s="22"/>
      <c r="L214" s="23"/>
      <c r="M214" s="71"/>
      <c r="N214" s="71"/>
      <c r="O214" s="22"/>
      <c r="P214" s="22"/>
      <c r="Q214" s="22"/>
      <c r="R214" s="71"/>
      <c r="AC214" s="22"/>
      <c r="AD214" s="22"/>
      <c r="AE214" s="22"/>
      <c r="AF214" s="22"/>
      <c r="AG214" s="22"/>
      <c r="AH214" s="22"/>
      <c r="AI214" s="22"/>
      <c r="AJ214" s="22"/>
      <c r="AK214" s="22"/>
      <c r="AL214" s="22"/>
      <c r="AM214" s="22"/>
      <c r="AN214" s="22"/>
      <c r="AO214" s="22"/>
      <c r="AP214" s="22"/>
      <c r="AQ214" s="22"/>
      <c r="AR214" s="22"/>
      <c r="AS214" s="22"/>
    </row>
    <row r="215" spans="1:45" x14ac:dyDescent="0.3">
      <c r="A215" s="22"/>
      <c r="B215" s="71"/>
      <c r="C215" s="22"/>
      <c r="D215" s="23"/>
      <c r="E215" s="22"/>
      <c r="F215" s="22"/>
      <c r="G215" s="22"/>
      <c r="H215" s="23"/>
      <c r="I215" s="22"/>
      <c r="J215" s="22"/>
      <c r="K215" s="22"/>
      <c r="L215" s="23"/>
      <c r="M215" s="71"/>
      <c r="N215" s="71"/>
      <c r="O215" s="22"/>
      <c r="P215" s="22"/>
      <c r="Q215" s="22"/>
      <c r="R215" s="71"/>
      <c r="AC215" s="22"/>
      <c r="AD215" s="22"/>
      <c r="AE215" s="22"/>
      <c r="AF215" s="22"/>
      <c r="AG215" s="22"/>
      <c r="AH215" s="22"/>
      <c r="AI215" s="22"/>
      <c r="AJ215" s="22"/>
      <c r="AK215" s="22"/>
      <c r="AL215" s="22"/>
      <c r="AM215" s="22"/>
      <c r="AN215" s="22"/>
      <c r="AO215" s="22"/>
      <c r="AP215" s="22"/>
      <c r="AQ215" s="22"/>
      <c r="AR215" s="22"/>
      <c r="AS215" s="22"/>
    </row>
    <row r="216" spans="1:45" x14ac:dyDescent="0.3">
      <c r="A216" s="22"/>
      <c r="B216" s="71"/>
      <c r="C216" s="22"/>
      <c r="D216" s="23"/>
      <c r="E216" s="22"/>
      <c r="F216" s="22"/>
      <c r="G216" s="22"/>
      <c r="H216" s="23"/>
      <c r="I216" s="22"/>
      <c r="J216" s="22"/>
      <c r="K216" s="22"/>
      <c r="L216" s="23"/>
      <c r="M216" s="71"/>
      <c r="N216" s="71"/>
      <c r="O216" s="22"/>
      <c r="P216" s="22"/>
      <c r="Q216" s="22"/>
      <c r="R216" s="71"/>
      <c r="AC216" s="22"/>
      <c r="AD216" s="22"/>
      <c r="AE216" s="22"/>
      <c r="AF216" s="22"/>
      <c r="AG216" s="22"/>
      <c r="AH216" s="22"/>
      <c r="AI216" s="22"/>
      <c r="AJ216" s="22"/>
      <c r="AK216" s="22"/>
      <c r="AL216" s="22"/>
      <c r="AM216" s="22"/>
      <c r="AN216" s="22"/>
      <c r="AO216" s="22"/>
      <c r="AP216" s="22"/>
      <c r="AQ216" s="22"/>
      <c r="AR216" s="22"/>
      <c r="AS216" s="22"/>
    </row>
    <row r="217" spans="1:45" x14ac:dyDescent="0.3">
      <c r="A217" s="22"/>
      <c r="B217" s="71"/>
      <c r="C217" s="22"/>
      <c r="D217" s="23"/>
      <c r="E217" s="22"/>
      <c r="F217" s="22"/>
      <c r="G217" s="22"/>
      <c r="H217" s="23"/>
      <c r="I217" s="22"/>
      <c r="J217" s="22"/>
      <c r="K217" s="22"/>
      <c r="L217" s="23"/>
      <c r="M217" s="71"/>
      <c r="N217" s="71"/>
      <c r="O217" s="22"/>
      <c r="P217" s="22"/>
      <c r="Q217" s="22"/>
      <c r="R217" s="71"/>
      <c r="AC217" s="22"/>
      <c r="AD217" s="22"/>
      <c r="AE217" s="22"/>
      <c r="AF217" s="22"/>
      <c r="AG217" s="22"/>
      <c r="AH217" s="22"/>
      <c r="AI217" s="22"/>
      <c r="AJ217" s="22"/>
      <c r="AK217" s="22"/>
      <c r="AL217" s="22"/>
      <c r="AM217" s="22"/>
      <c r="AN217" s="22"/>
      <c r="AO217" s="22"/>
      <c r="AP217" s="22"/>
      <c r="AQ217" s="22"/>
      <c r="AR217" s="22"/>
      <c r="AS217" s="22"/>
    </row>
    <row r="218" spans="1:45" x14ac:dyDescent="0.3">
      <c r="A218" s="22"/>
      <c r="B218" s="71"/>
      <c r="C218" s="22"/>
      <c r="D218" s="23"/>
      <c r="E218" s="22"/>
      <c r="F218" s="22"/>
      <c r="G218" s="22"/>
      <c r="H218" s="23"/>
      <c r="I218" s="22"/>
      <c r="J218" s="22"/>
      <c r="K218" s="22"/>
      <c r="L218" s="23"/>
      <c r="M218" s="71"/>
      <c r="N218" s="71"/>
      <c r="O218" s="22"/>
      <c r="P218" s="22"/>
      <c r="Q218" s="22"/>
      <c r="R218" s="71"/>
      <c r="AC218" s="22"/>
      <c r="AD218" s="22"/>
      <c r="AE218" s="22"/>
      <c r="AF218" s="22"/>
      <c r="AG218" s="22"/>
      <c r="AH218" s="22"/>
      <c r="AI218" s="22"/>
      <c r="AJ218" s="22"/>
      <c r="AK218" s="22"/>
      <c r="AL218" s="22"/>
      <c r="AM218" s="22"/>
      <c r="AN218" s="22"/>
      <c r="AO218" s="22"/>
      <c r="AP218" s="22"/>
      <c r="AQ218" s="22"/>
      <c r="AR218" s="22"/>
      <c r="AS218" s="22"/>
    </row>
    <row r="219" spans="1:45" x14ac:dyDescent="0.3">
      <c r="A219" s="22"/>
      <c r="B219" s="71"/>
      <c r="C219" s="22"/>
      <c r="D219" s="23"/>
      <c r="E219" s="22"/>
      <c r="F219" s="22"/>
      <c r="G219" s="22"/>
      <c r="H219" s="23"/>
      <c r="I219" s="22"/>
      <c r="J219" s="22"/>
      <c r="K219" s="22"/>
      <c r="L219" s="23"/>
      <c r="M219" s="71"/>
      <c r="N219" s="71"/>
      <c r="O219" s="22"/>
      <c r="P219" s="22"/>
      <c r="Q219" s="22"/>
      <c r="R219" s="71"/>
      <c r="AC219" s="22"/>
      <c r="AD219" s="22"/>
      <c r="AE219" s="22"/>
      <c r="AF219" s="22"/>
      <c r="AG219" s="22"/>
      <c r="AH219" s="22"/>
      <c r="AI219" s="22"/>
      <c r="AJ219" s="22"/>
      <c r="AK219" s="22"/>
      <c r="AL219" s="22"/>
      <c r="AM219" s="22"/>
      <c r="AN219" s="22"/>
      <c r="AO219" s="22"/>
      <c r="AP219" s="22"/>
      <c r="AQ219" s="22"/>
      <c r="AR219" s="22"/>
      <c r="AS219" s="22"/>
    </row>
    <row r="220" spans="1:45" x14ac:dyDescent="0.3">
      <c r="A220" s="22"/>
      <c r="B220" s="71"/>
      <c r="C220" s="22"/>
      <c r="D220" s="23"/>
      <c r="E220" s="22"/>
      <c r="F220" s="22"/>
      <c r="G220" s="22"/>
      <c r="H220" s="23"/>
      <c r="I220" s="22"/>
      <c r="J220" s="22"/>
      <c r="K220" s="22"/>
      <c r="L220" s="23"/>
      <c r="M220" s="71"/>
      <c r="N220" s="71"/>
      <c r="O220" s="22"/>
      <c r="P220" s="22"/>
      <c r="Q220" s="22"/>
      <c r="R220" s="71"/>
      <c r="AC220" s="22"/>
      <c r="AD220" s="22"/>
      <c r="AE220" s="22"/>
      <c r="AF220" s="22"/>
      <c r="AG220" s="22"/>
      <c r="AH220" s="22"/>
      <c r="AI220" s="22"/>
      <c r="AJ220" s="22"/>
      <c r="AK220" s="22"/>
      <c r="AL220" s="22"/>
      <c r="AM220" s="22"/>
      <c r="AN220" s="22"/>
      <c r="AO220" s="22"/>
      <c r="AP220" s="22"/>
      <c r="AQ220" s="22"/>
      <c r="AR220" s="22"/>
      <c r="AS220" s="22"/>
    </row>
    <row r="221" spans="1:45" x14ac:dyDescent="0.3">
      <c r="A221" s="22"/>
      <c r="B221" s="71"/>
      <c r="C221" s="22"/>
      <c r="D221" s="23"/>
      <c r="E221" s="22"/>
      <c r="F221" s="22"/>
      <c r="G221" s="22"/>
      <c r="H221" s="23"/>
      <c r="I221" s="22"/>
      <c r="J221" s="22"/>
      <c r="K221" s="22"/>
      <c r="L221" s="23"/>
      <c r="M221" s="71"/>
      <c r="N221" s="71"/>
      <c r="O221" s="22"/>
      <c r="P221" s="22"/>
      <c r="Q221" s="22"/>
      <c r="R221" s="71"/>
      <c r="AC221" s="22"/>
      <c r="AD221" s="22"/>
      <c r="AE221" s="22"/>
      <c r="AF221" s="22"/>
      <c r="AG221" s="22"/>
      <c r="AH221" s="22"/>
      <c r="AI221" s="22"/>
      <c r="AJ221" s="22"/>
      <c r="AK221" s="22"/>
      <c r="AL221" s="22"/>
      <c r="AM221" s="22"/>
      <c r="AN221" s="22"/>
      <c r="AO221" s="22"/>
      <c r="AP221" s="22"/>
      <c r="AQ221" s="22"/>
      <c r="AR221" s="22"/>
      <c r="AS221" s="22"/>
    </row>
    <row r="222" spans="1:45" x14ac:dyDescent="0.3">
      <c r="A222" s="22"/>
      <c r="B222" s="71"/>
      <c r="C222" s="22"/>
      <c r="D222" s="23"/>
      <c r="E222" s="22"/>
      <c r="F222" s="22"/>
      <c r="G222" s="22"/>
      <c r="H222" s="23"/>
      <c r="I222" s="22"/>
      <c r="J222" s="22"/>
      <c r="K222" s="22"/>
      <c r="L222" s="23"/>
      <c r="M222" s="71"/>
      <c r="N222" s="71"/>
      <c r="O222" s="22"/>
      <c r="P222" s="22"/>
      <c r="Q222" s="22"/>
      <c r="R222" s="71"/>
      <c r="AC222" s="22"/>
      <c r="AD222" s="22"/>
      <c r="AE222" s="22"/>
      <c r="AF222" s="22"/>
      <c r="AG222" s="22"/>
      <c r="AH222" s="22"/>
      <c r="AI222" s="22"/>
      <c r="AJ222" s="22"/>
      <c r="AK222" s="22"/>
      <c r="AL222" s="22"/>
      <c r="AM222" s="22"/>
      <c r="AN222" s="22"/>
      <c r="AO222" s="22"/>
      <c r="AP222" s="22"/>
      <c r="AQ222" s="22"/>
      <c r="AR222" s="22"/>
      <c r="AS222" s="22"/>
    </row>
    <row r="223" spans="1:45" x14ac:dyDescent="0.3">
      <c r="A223" s="22"/>
      <c r="B223" s="71"/>
      <c r="C223" s="22"/>
      <c r="D223" s="23"/>
      <c r="E223" s="22"/>
      <c r="F223" s="22"/>
      <c r="G223" s="22"/>
      <c r="H223" s="23"/>
      <c r="I223" s="22"/>
      <c r="J223" s="22"/>
      <c r="K223" s="22"/>
      <c r="L223" s="23"/>
      <c r="M223" s="71"/>
      <c r="N223" s="71"/>
      <c r="O223" s="22"/>
      <c r="P223" s="22"/>
      <c r="Q223" s="22"/>
      <c r="R223" s="71"/>
      <c r="AC223" s="22"/>
      <c r="AD223" s="22"/>
      <c r="AE223" s="22"/>
      <c r="AF223" s="22"/>
      <c r="AG223" s="22"/>
      <c r="AH223" s="22"/>
      <c r="AI223" s="22"/>
      <c r="AJ223" s="22"/>
      <c r="AK223" s="22"/>
      <c r="AL223" s="22"/>
      <c r="AM223" s="22"/>
      <c r="AN223" s="22"/>
      <c r="AO223" s="22"/>
      <c r="AP223" s="22"/>
      <c r="AQ223" s="22"/>
      <c r="AR223" s="22"/>
      <c r="AS223" s="22"/>
    </row>
    <row r="224" spans="1:45" x14ac:dyDescent="0.3">
      <c r="A224" s="22"/>
      <c r="B224" s="71"/>
      <c r="C224" s="22"/>
      <c r="D224" s="23"/>
      <c r="E224" s="22"/>
      <c r="F224" s="22"/>
      <c r="G224" s="22"/>
      <c r="H224" s="23"/>
      <c r="I224" s="22"/>
      <c r="J224" s="22"/>
      <c r="K224" s="22"/>
      <c r="L224" s="23"/>
      <c r="M224" s="71"/>
      <c r="N224" s="71"/>
      <c r="O224" s="22"/>
      <c r="P224" s="22"/>
      <c r="Q224" s="22"/>
      <c r="R224" s="71"/>
      <c r="AC224" s="22"/>
      <c r="AD224" s="22"/>
      <c r="AE224" s="22"/>
      <c r="AF224" s="22"/>
      <c r="AG224" s="22"/>
      <c r="AH224" s="22"/>
      <c r="AI224" s="22"/>
      <c r="AJ224" s="22"/>
      <c r="AK224" s="22"/>
      <c r="AL224" s="22"/>
      <c r="AM224" s="22"/>
      <c r="AN224" s="22"/>
      <c r="AO224" s="22"/>
      <c r="AP224" s="22"/>
      <c r="AQ224" s="22"/>
      <c r="AR224" s="22"/>
      <c r="AS224" s="22"/>
    </row>
    <row r="225" spans="1:45" x14ac:dyDescent="0.3">
      <c r="A225" s="22"/>
      <c r="B225" s="71"/>
      <c r="C225" s="22"/>
      <c r="D225" s="23"/>
      <c r="E225" s="22"/>
      <c r="F225" s="22"/>
      <c r="G225" s="22"/>
      <c r="H225" s="23"/>
      <c r="I225" s="22"/>
      <c r="J225" s="22"/>
      <c r="K225" s="22"/>
      <c r="L225" s="23"/>
      <c r="M225" s="71"/>
      <c r="N225" s="71"/>
      <c r="O225" s="22"/>
      <c r="P225" s="22"/>
      <c r="Q225" s="22"/>
      <c r="R225" s="71"/>
      <c r="AC225" s="22"/>
      <c r="AD225" s="22"/>
      <c r="AE225" s="22"/>
      <c r="AF225" s="22"/>
      <c r="AG225" s="22"/>
      <c r="AH225" s="22"/>
      <c r="AI225" s="22"/>
      <c r="AJ225" s="22"/>
      <c r="AK225" s="22"/>
      <c r="AL225" s="22"/>
      <c r="AM225" s="22"/>
      <c r="AN225" s="22"/>
      <c r="AO225" s="22"/>
      <c r="AP225" s="22"/>
      <c r="AQ225" s="22"/>
      <c r="AR225" s="22"/>
      <c r="AS225" s="22"/>
    </row>
    <row r="226" spans="1:45" x14ac:dyDescent="0.3">
      <c r="A226" s="22"/>
      <c r="B226" s="71"/>
      <c r="C226" s="22"/>
      <c r="D226" s="23"/>
      <c r="E226" s="22"/>
      <c r="F226" s="22"/>
      <c r="G226" s="22"/>
      <c r="H226" s="23"/>
      <c r="I226" s="22"/>
      <c r="J226" s="22"/>
      <c r="K226" s="22"/>
      <c r="L226" s="23"/>
      <c r="M226" s="71"/>
      <c r="N226" s="71"/>
      <c r="O226" s="22"/>
      <c r="P226" s="22"/>
      <c r="Q226" s="22"/>
      <c r="R226" s="71"/>
      <c r="AC226" s="22"/>
      <c r="AD226" s="22"/>
      <c r="AE226" s="22"/>
      <c r="AF226" s="22"/>
      <c r="AG226" s="22"/>
      <c r="AH226" s="22"/>
      <c r="AI226" s="22"/>
      <c r="AJ226" s="22"/>
      <c r="AK226" s="22"/>
      <c r="AL226" s="22"/>
      <c r="AM226" s="22"/>
      <c r="AN226" s="22"/>
      <c r="AO226" s="22"/>
      <c r="AP226" s="22"/>
      <c r="AQ226" s="22"/>
      <c r="AR226" s="22"/>
      <c r="AS226" s="22"/>
    </row>
    <row r="227" spans="1:45" x14ac:dyDescent="0.3">
      <c r="A227" s="22"/>
      <c r="B227" s="71"/>
      <c r="C227" s="22"/>
      <c r="D227" s="23"/>
      <c r="E227" s="22"/>
      <c r="F227" s="22"/>
      <c r="G227" s="22"/>
      <c r="H227" s="23"/>
      <c r="I227" s="22"/>
      <c r="J227" s="22"/>
      <c r="K227" s="22"/>
      <c r="L227" s="23"/>
      <c r="M227" s="71"/>
      <c r="N227" s="71"/>
      <c r="O227" s="22"/>
      <c r="P227" s="22"/>
      <c r="Q227" s="22"/>
      <c r="R227" s="71"/>
      <c r="AC227" s="22"/>
      <c r="AD227" s="22"/>
      <c r="AE227" s="22"/>
      <c r="AF227" s="22"/>
      <c r="AG227" s="22"/>
      <c r="AH227" s="22"/>
      <c r="AI227" s="22"/>
      <c r="AJ227" s="22"/>
      <c r="AK227" s="22"/>
      <c r="AL227" s="22"/>
      <c r="AM227" s="22"/>
      <c r="AN227" s="22"/>
      <c r="AO227" s="22"/>
      <c r="AP227" s="22"/>
      <c r="AQ227" s="22"/>
      <c r="AR227" s="22"/>
      <c r="AS227" s="22"/>
    </row>
    <row r="228" spans="1:45" x14ac:dyDescent="0.3">
      <c r="A228" s="22"/>
      <c r="B228" s="71"/>
      <c r="C228" s="22"/>
      <c r="D228" s="23"/>
      <c r="E228" s="22"/>
      <c r="F228" s="22"/>
      <c r="G228" s="22"/>
      <c r="H228" s="23"/>
      <c r="I228" s="22"/>
      <c r="J228" s="22"/>
      <c r="K228" s="22"/>
      <c r="L228" s="23"/>
      <c r="M228" s="71"/>
      <c r="N228" s="71"/>
      <c r="O228" s="22"/>
      <c r="P228" s="22"/>
      <c r="Q228" s="22"/>
      <c r="R228" s="71"/>
      <c r="AC228" s="22"/>
      <c r="AD228" s="22"/>
      <c r="AE228" s="22"/>
      <c r="AF228" s="22"/>
      <c r="AG228" s="22"/>
      <c r="AH228" s="22"/>
      <c r="AI228" s="22"/>
      <c r="AJ228" s="22"/>
      <c r="AK228" s="22"/>
      <c r="AL228" s="22"/>
      <c r="AM228" s="22"/>
      <c r="AN228" s="22"/>
      <c r="AO228" s="22"/>
      <c r="AP228" s="22"/>
      <c r="AQ228" s="22"/>
      <c r="AR228" s="22"/>
      <c r="AS228" s="22"/>
    </row>
    <row r="229" spans="1:45" x14ac:dyDescent="0.3">
      <c r="A229" s="22"/>
      <c r="B229" s="71"/>
      <c r="C229" s="22"/>
      <c r="D229" s="23"/>
      <c r="E229" s="22"/>
      <c r="F229" s="22"/>
      <c r="G229" s="22"/>
      <c r="H229" s="23"/>
      <c r="I229" s="22"/>
      <c r="J229" s="22"/>
      <c r="K229" s="22"/>
      <c r="L229" s="23"/>
      <c r="M229" s="71"/>
      <c r="N229" s="71"/>
      <c r="O229" s="22"/>
      <c r="P229" s="22"/>
      <c r="Q229" s="22"/>
      <c r="R229" s="71"/>
      <c r="AC229" s="22"/>
      <c r="AD229" s="22"/>
      <c r="AE229" s="22"/>
      <c r="AF229" s="22"/>
      <c r="AG229" s="22"/>
      <c r="AH229" s="22"/>
      <c r="AI229" s="22"/>
      <c r="AJ229" s="22"/>
      <c r="AK229" s="22"/>
      <c r="AL229" s="22"/>
      <c r="AM229" s="22"/>
      <c r="AN229" s="22"/>
      <c r="AO229" s="22"/>
      <c r="AP229" s="22"/>
      <c r="AQ229" s="22"/>
      <c r="AR229" s="22"/>
      <c r="AS229" s="22"/>
    </row>
    <row r="230" spans="1:45" x14ac:dyDescent="0.3">
      <c r="A230" s="22"/>
      <c r="B230" s="71"/>
      <c r="C230" s="22"/>
      <c r="D230" s="23"/>
      <c r="E230" s="22"/>
      <c r="F230" s="22"/>
      <c r="G230" s="22"/>
      <c r="H230" s="23"/>
      <c r="I230" s="22"/>
      <c r="J230" s="22"/>
      <c r="K230" s="22"/>
      <c r="L230" s="23"/>
      <c r="M230" s="71"/>
      <c r="N230" s="71"/>
      <c r="O230" s="22"/>
      <c r="P230" s="22"/>
      <c r="Q230" s="22"/>
      <c r="R230" s="71"/>
      <c r="AC230" s="22"/>
      <c r="AD230" s="22"/>
      <c r="AE230" s="22"/>
      <c r="AF230" s="22"/>
      <c r="AG230" s="22"/>
      <c r="AH230" s="22"/>
      <c r="AI230" s="22"/>
      <c r="AJ230" s="22"/>
      <c r="AK230" s="22"/>
      <c r="AL230" s="22"/>
      <c r="AM230" s="22"/>
      <c r="AN230" s="22"/>
      <c r="AO230" s="22"/>
      <c r="AP230" s="22"/>
      <c r="AQ230" s="22"/>
      <c r="AR230" s="22"/>
      <c r="AS230" s="22"/>
    </row>
    <row r="231" spans="1:45" x14ac:dyDescent="0.3">
      <c r="A231" s="22"/>
      <c r="B231" s="71"/>
      <c r="C231" s="22"/>
      <c r="D231" s="23"/>
      <c r="E231" s="22"/>
      <c r="F231" s="22"/>
      <c r="G231" s="22"/>
      <c r="H231" s="23"/>
      <c r="I231" s="22"/>
      <c r="J231" s="22"/>
      <c r="K231" s="22"/>
      <c r="L231" s="23"/>
      <c r="M231" s="71"/>
      <c r="N231" s="71"/>
      <c r="O231" s="22"/>
      <c r="P231" s="22"/>
      <c r="Q231" s="22"/>
      <c r="R231" s="71"/>
      <c r="AC231" s="22"/>
      <c r="AD231" s="22"/>
      <c r="AE231" s="22"/>
      <c r="AF231" s="22"/>
      <c r="AG231" s="22"/>
      <c r="AH231" s="22"/>
      <c r="AI231" s="22"/>
      <c r="AJ231" s="22"/>
      <c r="AK231" s="22"/>
      <c r="AL231" s="22"/>
      <c r="AM231" s="22"/>
      <c r="AN231" s="22"/>
      <c r="AO231" s="22"/>
      <c r="AP231" s="22"/>
      <c r="AQ231" s="22"/>
      <c r="AR231" s="22"/>
      <c r="AS231" s="22"/>
    </row>
    <row r="232" spans="1:45" x14ac:dyDescent="0.3">
      <c r="A232" s="22"/>
      <c r="B232" s="71"/>
      <c r="C232" s="22"/>
      <c r="D232" s="23"/>
      <c r="E232" s="22"/>
      <c r="F232" s="22"/>
      <c r="G232" s="22"/>
      <c r="H232" s="23"/>
      <c r="I232" s="22"/>
      <c r="J232" s="22"/>
      <c r="K232" s="22"/>
      <c r="L232" s="23"/>
      <c r="M232" s="71"/>
      <c r="N232" s="71"/>
      <c r="O232" s="22"/>
      <c r="P232" s="22"/>
      <c r="Q232" s="22"/>
      <c r="R232" s="71"/>
      <c r="AC232" s="22"/>
      <c r="AD232" s="22"/>
      <c r="AE232" s="22"/>
      <c r="AF232" s="22"/>
      <c r="AG232" s="22"/>
      <c r="AH232" s="22"/>
      <c r="AI232" s="22"/>
      <c r="AJ232" s="22"/>
      <c r="AK232" s="22"/>
      <c r="AL232" s="22"/>
      <c r="AM232" s="22"/>
      <c r="AN232" s="22"/>
      <c r="AO232" s="22"/>
      <c r="AP232" s="22"/>
      <c r="AQ232" s="22"/>
      <c r="AR232" s="22"/>
      <c r="AS232" s="22"/>
    </row>
    <row r="233" spans="1:45" x14ac:dyDescent="0.3">
      <c r="A233" s="22"/>
      <c r="B233" s="71"/>
      <c r="C233" s="22"/>
      <c r="D233" s="23"/>
      <c r="E233" s="22"/>
      <c r="F233" s="22"/>
      <c r="G233" s="22"/>
      <c r="H233" s="23"/>
      <c r="I233" s="22"/>
      <c r="J233" s="22"/>
      <c r="K233" s="22"/>
      <c r="L233" s="23"/>
      <c r="M233" s="71"/>
      <c r="N233" s="71"/>
      <c r="O233" s="22"/>
      <c r="P233" s="22"/>
      <c r="Q233" s="22"/>
      <c r="R233" s="71"/>
      <c r="AC233" s="22"/>
      <c r="AD233" s="22"/>
      <c r="AE233" s="22"/>
      <c r="AF233" s="22"/>
      <c r="AG233" s="22"/>
      <c r="AH233" s="22"/>
      <c r="AI233" s="22"/>
      <c r="AJ233" s="22"/>
      <c r="AK233" s="22"/>
      <c r="AL233" s="22"/>
      <c r="AM233" s="22"/>
      <c r="AN233" s="22"/>
      <c r="AO233" s="22"/>
      <c r="AP233" s="22"/>
      <c r="AQ233" s="22"/>
      <c r="AR233" s="22"/>
      <c r="AS233" s="22"/>
    </row>
    <row r="234" spans="1:45" x14ac:dyDescent="0.3">
      <c r="A234" s="22"/>
      <c r="B234" s="71"/>
      <c r="C234" s="22"/>
      <c r="D234" s="23"/>
      <c r="E234" s="22"/>
      <c r="F234" s="22"/>
      <c r="G234" s="22"/>
      <c r="H234" s="23"/>
      <c r="I234" s="22"/>
      <c r="J234" s="22"/>
      <c r="K234" s="22"/>
      <c r="L234" s="23"/>
      <c r="M234" s="71"/>
      <c r="N234" s="71"/>
      <c r="O234" s="22"/>
      <c r="P234" s="22"/>
      <c r="Q234" s="22"/>
      <c r="R234" s="71"/>
      <c r="AC234" s="22"/>
      <c r="AD234" s="22"/>
      <c r="AE234" s="22"/>
      <c r="AF234" s="22"/>
      <c r="AG234" s="22"/>
      <c r="AH234" s="22"/>
      <c r="AI234" s="22"/>
      <c r="AJ234" s="22"/>
      <c r="AK234" s="22"/>
      <c r="AL234" s="22"/>
      <c r="AM234" s="22"/>
      <c r="AN234" s="22"/>
      <c r="AO234" s="22"/>
      <c r="AP234" s="22"/>
      <c r="AQ234" s="22"/>
      <c r="AR234" s="22"/>
      <c r="AS234" s="22"/>
    </row>
    <row r="235" spans="1:45" x14ac:dyDescent="0.3">
      <c r="A235" s="22"/>
      <c r="B235" s="71"/>
      <c r="C235" s="22"/>
      <c r="D235" s="23"/>
      <c r="E235" s="22"/>
      <c r="F235" s="22"/>
      <c r="G235" s="22"/>
      <c r="H235" s="23"/>
      <c r="I235" s="22"/>
      <c r="J235" s="22"/>
      <c r="K235" s="22"/>
      <c r="L235" s="23"/>
      <c r="M235" s="71"/>
      <c r="N235" s="71"/>
      <c r="O235" s="22"/>
      <c r="P235" s="22"/>
      <c r="Q235" s="22"/>
      <c r="R235" s="71"/>
      <c r="AC235" s="22"/>
      <c r="AD235" s="22"/>
      <c r="AE235" s="22"/>
      <c r="AF235" s="22"/>
      <c r="AG235" s="22"/>
      <c r="AH235" s="22"/>
      <c r="AI235" s="22"/>
      <c r="AJ235" s="22"/>
      <c r="AK235" s="22"/>
      <c r="AL235" s="22"/>
      <c r="AM235" s="22"/>
      <c r="AN235" s="22"/>
      <c r="AO235" s="22"/>
      <c r="AP235" s="22"/>
      <c r="AQ235" s="22"/>
      <c r="AR235" s="22"/>
      <c r="AS235" s="22"/>
    </row>
    <row r="236" spans="1:45" x14ac:dyDescent="0.3">
      <c r="A236" s="22"/>
      <c r="B236" s="71"/>
      <c r="C236" s="22"/>
      <c r="D236" s="23"/>
      <c r="E236" s="22"/>
      <c r="F236" s="22"/>
      <c r="G236" s="22"/>
      <c r="H236" s="23"/>
      <c r="I236" s="22"/>
      <c r="J236" s="22"/>
      <c r="K236" s="22"/>
      <c r="L236" s="23"/>
      <c r="M236" s="71"/>
      <c r="N236" s="71"/>
      <c r="O236" s="22"/>
      <c r="P236" s="22"/>
      <c r="Q236" s="22"/>
      <c r="R236" s="71"/>
      <c r="AC236" s="22"/>
      <c r="AD236" s="22"/>
      <c r="AE236" s="22"/>
      <c r="AF236" s="22"/>
      <c r="AG236" s="22"/>
      <c r="AH236" s="22"/>
      <c r="AI236" s="22"/>
      <c r="AJ236" s="22"/>
      <c r="AK236" s="22"/>
      <c r="AL236" s="22"/>
      <c r="AM236" s="22"/>
      <c r="AN236" s="22"/>
      <c r="AO236" s="22"/>
      <c r="AP236" s="22"/>
      <c r="AQ236" s="22"/>
      <c r="AR236" s="22"/>
      <c r="AS236" s="22"/>
    </row>
    <row r="237" spans="1:45" x14ac:dyDescent="0.3">
      <c r="A237" s="22"/>
      <c r="B237" s="71"/>
      <c r="C237" s="22"/>
      <c r="D237" s="23"/>
      <c r="E237" s="22"/>
      <c r="F237" s="22"/>
      <c r="G237" s="22"/>
      <c r="H237" s="23"/>
      <c r="I237" s="22"/>
      <c r="J237" s="22"/>
      <c r="K237" s="22"/>
      <c r="L237" s="23"/>
      <c r="M237" s="71"/>
      <c r="N237" s="71"/>
      <c r="O237" s="22"/>
      <c r="P237" s="22"/>
      <c r="Q237" s="22"/>
      <c r="R237" s="71"/>
      <c r="AC237" s="22"/>
      <c r="AD237" s="22"/>
      <c r="AE237" s="22"/>
      <c r="AF237" s="22"/>
      <c r="AG237" s="22"/>
      <c r="AH237" s="22"/>
      <c r="AI237" s="22"/>
      <c r="AJ237" s="22"/>
      <c r="AK237" s="22"/>
      <c r="AL237" s="22"/>
      <c r="AM237" s="22"/>
      <c r="AN237" s="22"/>
      <c r="AO237" s="22"/>
      <c r="AP237" s="22"/>
      <c r="AQ237" s="22"/>
      <c r="AR237" s="22"/>
      <c r="AS237" s="22"/>
    </row>
    <row r="238" spans="1:45" x14ac:dyDescent="0.3">
      <c r="A238" s="22"/>
      <c r="B238" s="71"/>
      <c r="C238" s="22"/>
      <c r="D238" s="23"/>
      <c r="E238" s="22"/>
      <c r="F238" s="22"/>
      <c r="G238" s="22"/>
      <c r="H238" s="23"/>
      <c r="I238" s="22"/>
      <c r="J238" s="22"/>
      <c r="K238" s="22"/>
      <c r="L238" s="23"/>
      <c r="M238" s="71"/>
      <c r="N238" s="71"/>
      <c r="O238" s="22"/>
      <c r="P238" s="22"/>
      <c r="Q238" s="22"/>
      <c r="R238" s="71"/>
      <c r="AC238" s="22"/>
      <c r="AD238" s="22"/>
      <c r="AE238" s="22"/>
      <c r="AF238" s="22"/>
      <c r="AG238" s="22"/>
      <c r="AH238" s="22"/>
      <c r="AI238" s="22"/>
      <c r="AJ238" s="22"/>
      <c r="AK238" s="22"/>
      <c r="AL238" s="22"/>
      <c r="AM238" s="22"/>
      <c r="AN238" s="22"/>
      <c r="AO238" s="22"/>
      <c r="AP238" s="22"/>
      <c r="AQ238" s="22"/>
      <c r="AR238" s="22"/>
      <c r="AS238" s="22"/>
    </row>
    <row r="239" spans="1:45" x14ac:dyDescent="0.3">
      <c r="A239" s="22"/>
      <c r="B239" s="71"/>
      <c r="C239" s="22"/>
      <c r="D239" s="23"/>
      <c r="E239" s="22"/>
      <c r="F239" s="22"/>
      <c r="G239" s="22"/>
      <c r="H239" s="23"/>
      <c r="I239" s="22"/>
      <c r="J239" s="22"/>
      <c r="K239" s="22"/>
      <c r="L239" s="23"/>
      <c r="M239" s="71"/>
      <c r="N239" s="71"/>
      <c r="O239" s="22"/>
      <c r="P239" s="22"/>
      <c r="Q239" s="22"/>
      <c r="R239" s="71"/>
      <c r="AC239" s="22"/>
      <c r="AD239" s="22"/>
      <c r="AE239" s="22"/>
      <c r="AF239" s="22"/>
      <c r="AG239" s="22"/>
      <c r="AH239" s="22"/>
      <c r="AI239" s="22"/>
      <c r="AJ239" s="22"/>
      <c r="AK239" s="22"/>
      <c r="AL239" s="22"/>
      <c r="AM239" s="22"/>
      <c r="AN239" s="22"/>
      <c r="AO239" s="22"/>
      <c r="AP239" s="22"/>
      <c r="AQ239" s="22"/>
      <c r="AR239" s="22"/>
      <c r="AS239" s="22"/>
    </row>
    <row r="240" spans="1:45" x14ac:dyDescent="0.3">
      <c r="A240" s="22"/>
      <c r="B240" s="71"/>
      <c r="C240" s="22"/>
      <c r="D240" s="23"/>
      <c r="E240" s="22"/>
      <c r="F240" s="22"/>
      <c r="G240" s="22"/>
      <c r="H240" s="23"/>
      <c r="I240" s="22"/>
      <c r="J240" s="22"/>
      <c r="K240" s="22"/>
      <c r="L240" s="23"/>
      <c r="M240" s="71"/>
      <c r="N240" s="71"/>
      <c r="O240" s="22"/>
      <c r="P240" s="22"/>
      <c r="Q240" s="22"/>
      <c r="R240" s="71"/>
      <c r="AC240" s="22"/>
      <c r="AD240" s="22"/>
      <c r="AE240" s="22"/>
      <c r="AF240" s="22"/>
      <c r="AG240" s="22"/>
      <c r="AH240" s="22"/>
      <c r="AI240" s="22"/>
      <c r="AJ240" s="22"/>
      <c r="AK240" s="22"/>
      <c r="AL240" s="22"/>
      <c r="AM240" s="22"/>
      <c r="AN240" s="22"/>
      <c r="AO240" s="22"/>
      <c r="AP240" s="22"/>
      <c r="AQ240" s="22"/>
      <c r="AR240" s="22"/>
      <c r="AS240" s="22"/>
    </row>
    <row r="241" spans="1:45" x14ac:dyDescent="0.3">
      <c r="A241" s="22"/>
      <c r="B241" s="71"/>
      <c r="C241" s="22"/>
      <c r="D241" s="23"/>
      <c r="E241" s="22"/>
      <c r="F241" s="22"/>
      <c r="G241" s="22"/>
      <c r="H241" s="23"/>
      <c r="I241" s="22"/>
      <c r="J241" s="22"/>
      <c r="K241" s="22"/>
      <c r="L241" s="23"/>
      <c r="M241" s="71"/>
      <c r="N241" s="71"/>
      <c r="O241" s="22"/>
      <c r="P241" s="22"/>
      <c r="Q241" s="22"/>
      <c r="R241" s="71"/>
      <c r="AC241" s="22"/>
      <c r="AD241" s="22"/>
      <c r="AE241" s="22"/>
      <c r="AF241" s="22"/>
      <c r="AG241" s="22"/>
      <c r="AH241" s="22"/>
      <c r="AI241" s="22"/>
      <c r="AJ241" s="22"/>
      <c r="AK241" s="22"/>
      <c r="AL241" s="22"/>
      <c r="AM241" s="22"/>
      <c r="AN241" s="22"/>
      <c r="AO241" s="22"/>
      <c r="AP241" s="22"/>
      <c r="AQ241" s="22"/>
      <c r="AR241" s="22"/>
      <c r="AS241" s="22"/>
    </row>
    <row r="242" spans="1:45" x14ac:dyDescent="0.3">
      <c r="A242" s="22"/>
      <c r="B242" s="71"/>
      <c r="C242" s="22"/>
      <c r="D242" s="23"/>
      <c r="E242" s="22"/>
      <c r="F242" s="22"/>
      <c r="G242" s="22"/>
      <c r="H242" s="23"/>
      <c r="I242" s="22"/>
      <c r="J242" s="22"/>
      <c r="K242" s="22"/>
      <c r="L242" s="23"/>
      <c r="M242" s="71"/>
      <c r="N242" s="71"/>
      <c r="O242" s="22"/>
      <c r="P242" s="22"/>
      <c r="Q242" s="22"/>
      <c r="R242" s="71"/>
      <c r="AC242" s="22"/>
      <c r="AD242" s="22"/>
      <c r="AE242" s="22"/>
      <c r="AF242" s="22"/>
      <c r="AG242" s="22"/>
      <c r="AH242" s="22"/>
      <c r="AI242" s="22"/>
      <c r="AJ242" s="22"/>
      <c r="AK242" s="22"/>
      <c r="AL242" s="22"/>
      <c r="AM242" s="22"/>
      <c r="AN242" s="22"/>
      <c r="AO242" s="22"/>
      <c r="AP242" s="22"/>
      <c r="AQ242" s="22"/>
      <c r="AR242" s="22"/>
      <c r="AS242" s="22"/>
    </row>
    <row r="243" spans="1:45" x14ac:dyDescent="0.3">
      <c r="A243" s="22"/>
      <c r="B243" s="71"/>
      <c r="C243" s="22"/>
      <c r="D243" s="23"/>
      <c r="E243" s="22"/>
      <c r="F243" s="22"/>
      <c r="G243" s="22"/>
      <c r="H243" s="23"/>
      <c r="I243" s="22"/>
      <c r="J243" s="22"/>
      <c r="K243" s="22"/>
      <c r="L243" s="23"/>
      <c r="M243" s="71"/>
      <c r="N243" s="71"/>
      <c r="O243" s="22"/>
      <c r="P243" s="22"/>
      <c r="Q243" s="22"/>
      <c r="R243" s="71"/>
      <c r="AC243" s="22"/>
      <c r="AD243" s="22"/>
      <c r="AE243" s="22"/>
      <c r="AF243" s="22"/>
      <c r="AG243" s="22"/>
      <c r="AH243" s="22"/>
      <c r="AI243" s="22"/>
      <c r="AJ243" s="22"/>
      <c r="AK243" s="22"/>
      <c r="AL243" s="22"/>
      <c r="AM243" s="22"/>
      <c r="AN243" s="22"/>
      <c r="AO243" s="22"/>
      <c r="AP243" s="22"/>
      <c r="AQ243" s="22"/>
      <c r="AR243" s="22"/>
      <c r="AS243" s="22"/>
    </row>
    <row r="244" spans="1:45" x14ac:dyDescent="0.3">
      <c r="A244" s="22"/>
      <c r="B244" s="71"/>
      <c r="C244" s="22"/>
      <c r="D244" s="23"/>
      <c r="E244" s="22"/>
      <c r="F244" s="22"/>
      <c r="G244" s="22"/>
      <c r="H244" s="23"/>
      <c r="I244" s="22"/>
      <c r="J244" s="22"/>
      <c r="K244" s="22"/>
      <c r="L244" s="23"/>
      <c r="M244" s="71"/>
      <c r="N244" s="71"/>
      <c r="O244" s="22"/>
      <c r="P244" s="22"/>
      <c r="Q244" s="22"/>
      <c r="R244" s="71"/>
      <c r="AC244" s="22"/>
      <c r="AD244" s="22"/>
      <c r="AE244" s="22"/>
      <c r="AF244" s="22"/>
      <c r="AG244" s="22"/>
      <c r="AH244" s="22"/>
      <c r="AI244" s="22"/>
      <c r="AJ244" s="22"/>
      <c r="AK244" s="22"/>
      <c r="AL244" s="22"/>
      <c r="AM244" s="22"/>
      <c r="AN244" s="22"/>
      <c r="AO244" s="22"/>
      <c r="AP244" s="22"/>
      <c r="AQ244" s="22"/>
      <c r="AR244" s="22"/>
      <c r="AS244" s="22"/>
    </row>
    <row r="245" spans="1:45" x14ac:dyDescent="0.3">
      <c r="A245" s="22"/>
      <c r="B245" s="71"/>
      <c r="C245" s="22"/>
      <c r="D245" s="23"/>
      <c r="E245" s="22"/>
      <c r="F245" s="22"/>
      <c r="G245" s="22"/>
      <c r="H245" s="23"/>
      <c r="I245" s="22"/>
      <c r="J245" s="22"/>
      <c r="K245" s="22"/>
      <c r="L245" s="23"/>
      <c r="M245" s="71"/>
      <c r="N245" s="71"/>
      <c r="O245" s="22"/>
      <c r="P245" s="22"/>
      <c r="Q245" s="22"/>
      <c r="R245" s="71"/>
      <c r="AC245" s="22"/>
      <c r="AD245" s="22"/>
      <c r="AE245" s="22"/>
      <c r="AF245" s="22"/>
      <c r="AG245" s="22"/>
      <c r="AH245" s="22"/>
      <c r="AI245" s="22"/>
      <c r="AJ245" s="22"/>
      <c r="AK245" s="22"/>
      <c r="AL245" s="22"/>
      <c r="AM245" s="22"/>
      <c r="AN245" s="22"/>
      <c r="AO245" s="22"/>
      <c r="AP245" s="22"/>
      <c r="AQ245" s="22"/>
      <c r="AR245" s="22"/>
      <c r="AS245" s="22"/>
    </row>
    <row r="246" spans="1:45" x14ac:dyDescent="0.3">
      <c r="A246" s="22"/>
      <c r="B246" s="71"/>
      <c r="C246" s="22"/>
      <c r="D246" s="23"/>
      <c r="E246" s="22"/>
      <c r="F246" s="22"/>
      <c r="G246" s="22"/>
      <c r="H246" s="23"/>
      <c r="I246" s="22"/>
      <c r="J246" s="22"/>
      <c r="K246" s="22"/>
      <c r="L246" s="23"/>
      <c r="M246" s="71"/>
      <c r="N246" s="71"/>
      <c r="O246" s="22"/>
      <c r="P246" s="22"/>
      <c r="Q246" s="22"/>
      <c r="R246" s="71"/>
      <c r="AC246" s="22"/>
      <c r="AD246" s="22"/>
      <c r="AE246" s="22"/>
      <c r="AF246" s="22"/>
      <c r="AG246" s="22"/>
      <c r="AH246" s="22"/>
      <c r="AI246" s="22"/>
      <c r="AJ246" s="22"/>
      <c r="AK246" s="22"/>
      <c r="AL246" s="22"/>
      <c r="AM246" s="22"/>
      <c r="AN246" s="22"/>
      <c r="AO246" s="22"/>
      <c r="AP246" s="22"/>
      <c r="AQ246" s="22"/>
      <c r="AR246" s="22"/>
      <c r="AS246" s="22"/>
    </row>
    <row r="247" spans="1:45" x14ac:dyDescent="0.3">
      <c r="A247" s="22"/>
      <c r="B247" s="71"/>
      <c r="C247" s="22"/>
      <c r="D247" s="23"/>
      <c r="E247" s="22"/>
      <c r="F247" s="22"/>
      <c r="G247" s="22"/>
      <c r="H247" s="23"/>
      <c r="I247" s="22"/>
      <c r="J247" s="22"/>
      <c r="K247" s="22"/>
      <c r="L247" s="23"/>
      <c r="M247" s="71"/>
      <c r="N247" s="71"/>
      <c r="O247" s="22"/>
      <c r="P247" s="22"/>
      <c r="Q247" s="22"/>
      <c r="R247" s="71"/>
      <c r="AC247" s="22"/>
      <c r="AD247" s="22"/>
      <c r="AE247" s="22"/>
      <c r="AF247" s="22"/>
      <c r="AG247" s="22"/>
      <c r="AH247" s="22"/>
      <c r="AI247" s="22"/>
      <c r="AJ247" s="22"/>
      <c r="AK247" s="22"/>
      <c r="AL247" s="22"/>
      <c r="AM247" s="22"/>
      <c r="AN247" s="22"/>
      <c r="AO247" s="22"/>
      <c r="AP247" s="22"/>
      <c r="AQ247" s="22"/>
      <c r="AR247" s="22"/>
      <c r="AS247" s="22"/>
    </row>
    <row r="248" spans="1:45" x14ac:dyDescent="0.3">
      <c r="A248" s="22"/>
      <c r="B248" s="71"/>
      <c r="C248" s="22"/>
      <c r="D248" s="23"/>
      <c r="E248" s="22"/>
      <c r="F248" s="22"/>
      <c r="G248" s="22"/>
      <c r="H248" s="23"/>
      <c r="I248" s="22"/>
      <c r="J248" s="22"/>
      <c r="K248" s="22"/>
      <c r="L248" s="23"/>
      <c r="M248" s="71"/>
      <c r="N248" s="71"/>
      <c r="O248" s="22"/>
      <c r="P248" s="22"/>
      <c r="Q248" s="22"/>
      <c r="R248" s="71"/>
      <c r="AC248" s="22"/>
      <c r="AD248" s="22"/>
      <c r="AE248" s="22"/>
      <c r="AF248" s="22"/>
      <c r="AG248" s="22"/>
      <c r="AH248" s="22"/>
      <c r="AI248" s="22"/>
      <c r="AJ248" s="22"/>
      <c r="AK248" s="22"/>
      <c r="AL248" s="22"/>
      <c r="AM248" s="22"/>
      <c r="AN248" s="22"/>
      <c r="AO248" s="22"/>
      <c r="AP248" s="22"/>
      <c r="AQ248" s="22"/>
      <c r="AR248" s="22"/>
      <c r="AS248" s="22"/>
    </row>
    <row r="249" spans="1:45" x14ac:dyDescent="0.3">
      <c r="A249" s="22"/>
      <c r="B249" s="71"/>
      <c r="C249" s="22"/>
      <c r="D249" s="23"/>
      <c r="E249" s="22"/>
      <c r="F249" s="22"/>
      <c r="G249" s="22"/>
      <c r="H249" s="23"/>
      <c r="I249" s="22"/>
      <c r="J249" s="22"/>
      <c r="K249" s="22"/>
      <c r="L249" s="23"/>
      <c r="M249" s="71"/>
      <c r="N249" s="71"/>
      <c r="O249" s="22"/>
      <c r="P249" s="22"/>
      <c r="Q249" s="22"/>
      <c r="R249" s="71"/>
      <c r="AC249" s="22"/>
      <c r="AD249" s="22"/>
      <c r="AE249" s="22"/>
      <c r="AF249" s="22"/>
      <c r="AG249" s="22"/>
      <c r="AH249" s="22"/>
      <c r="AI249" s="22"/>
      <c r="AJ249" s="22"/>
      <c r="AK249" s="22"/>
      <c r="AL249" s="22"/>
      <c r="AM249" s="22"/>
      <c r="AN249" s="22"/>
      <c r="AO249" s="22"/>
      <c r="AP249" s="22"/>
      <c r="AQ249" s="22"/>
      <c r="AR249" s="22"/>
      <c r="AS249" s="22"/>
    </row>
    <row r="250" spans="1:45" x14ac:dyDescent="0.3">
      <c r="A250" s="22"/>
      <c r="B250" s="71"/>
      <c r="C250" s="22"/>
      <c r="D250" s="23"/>
      <c r="E250" s="22"/>
      <c r="F250" s="22"/>
      <c r="G250" s="22"/>
      <c r="H250" s="23"/>
      <c r="I250" s="22"/>
      <c r="J250" s="22"/>
      <c r="K250" s="22"/>
      <c r="L250" s="23"/>
      <c r="M250" s="71"/>
      <c r="N250" s="71"/>
      <c r="O250" s="22"/>
      <c r="P250" s="22"/>
      <c r="Q250" s="22"/>
      <c r="R250" s="71"/>
      <c r="AC250" s="22"/>
      <c r="AD250" s="22"/>
      <c r="AE250" s="22"/>
      <c r="AF250" s="22"/>
      <c r="AG250" s="22"/>
      <c r="AH250" s="22"/>
      <c r="AI250" s="22"/>
      <c r="AJ250" s="22"/>
      <c r="AK250" s="22"/>
      <c r="AL250" s="22"/>
      <c r="AM250" s="22"/>
      <c r="AN250" s="22"/>
      <c r="AO250" s="22"/>
      <c r="AP250" s="22"/>
      <c r="AQ250" s="22"/>
      <c r="AR250" s="22"/>
      <c r="AS250" s="22"/>
    </row>
    <row r="251" spans="1:45" x14ac:dyDescent="0.3">
      <c r="A251" s="22"/>
      <c r="B251" s="71"/>
      <c r="C251" s="22"/>
      <c r="D251" s="23"/>
      <c r="E251" s="22"/>
      <c r="F251" s="22"/>
      <c r="G251" s="22"/>
      <c r="H251" s="23"/>
      <c r="I251" s="22"/>
      <c r="J251" s="22"/>
      <c r="K251" s="22"/>
      <c r="L251" s="23"/>
      <c r="M251" s="71"/>
      <c r="N251" s="71"/>
      <c r="O251" s="22"/>
      <c r="P251" s="22"/>
      <c r="Q251" s="22"/>
      <c r="R251" s="71"/>
      <c r="AC251" s="22"/>
      <c r="AD251" s="22"/>
      <c r="AE251" s="22"/>
      <c r="AF251" s="22"/>
      <c r="AG251" s="22"/>
      <c r="AH251" s="22"/>
      <c r="AI251" s="22"/>
      <c r="AJ251" s="22"/>
      <c r="AK251" s="22"/>
      <c r="AL251" s="22"/>
      <c r="AM251" s="22"/>
      <c r="AN251" s="22"/>
      <c r="AO251" s="22"/>
      <c r="AP251" s="22"/>
      <c r="AQ251" s="22"/>
      <c r="AR251" s="22"/>
      <c r="AS251" s="22"/>
    </row>
    <row r="252" spans="1:45" x14ac:dyDescent="0.3">
      <c r="A252" s="22"/>
      <c r="B252" s="71"/>
      <c r="C252" s="22"/>
      <c r="D252" s="23"/>
      <c r="E252" s="22"/>
      <c r="F252" s="22"/>
      <c r="G252" s="22"/>
      <c r="H252" s="23"/>
      <c r="I252" s="22"/>
      <c r="J252" s="22"/>
      <c r="K252" s="22"/>
      <c r="L252" s="23"/>
      <c r="M252" s="71"/>
      <c r="N252" s="71"/>
      <c r="O252" s="22"/>
      <c r="P252" s="22"/>
      <c r="Q252" s="22"/>
      <c r="R252" s="71"/>
      <c r="AC252" s="22"/>
      <c r="AD252" s="22"/>
      <c r="AE252" s="22"/>
      <c r="AF252" s="22"/>
      <c r="AG252" s="22"/>
      <c r="AH252" s="22"/>
      <c r="AI252" s="22"/>
      <c r="AJ252" s="22"/>
      <c r="AK252" s="22"/>
      <c r="AL252" s="22"/>
      <c r="AM252" s="22"/>
      <c r="AN252" s="22"/>
      <c r="AO252" s="22"/>
      <c r="AP252" s="22"/>
      <c r="AQ252" s="22"/>
      <c r="AR252" s="22"/>
      <c r="AS252" s="22"/>
    </row>
    <row r="253" spans="1:45" x14ac:dyDescent="0.3">
      <c r="A253" s="22"/>
      <c r="B253" s="71"/>
      <c r="C253" s="22"/>
      <c r="D253" s="23"/>
      <c r="E253" s="22"/>
      <c r="F253" s="22"/>
      <c r="G253" s="22"/>
      <c r="H253" s="23"/>
      <c r="I253" s="22"/>
      <c r="J253" s="22"/>
      <c r="K253" s="22"/>
      <c r="L253" s="23"/>
      <c r="M253" s="71"/>
      <c r="N253" s="71"/>
      <c r="O253" s="22"/>
      <c r="P253" s="22"/>
      <c r="Q253" s="22"/>
      <c r="R253" s="71"/>
      <c r="AC253" s="22"/>
      <c r="AD253" s="22"/>
      <c r="AE253" s="22"/>
      <c r="AF253" s="22"/>
      <c r="AG253" s="22"/>
      <c r="AH253" s="22"/>
      <c r="AI253" s="22"/>
      <c r="AJ253" s="22"/>
      <c r="AK253" s="22"/>
      <c r="AL253" s="22"/>
      <c r="AM253" s="22"/>
      <c r="AN253" s="22"/>
      <c r="AO253" s="22"/>
      <c r="AP253" s="22"/>
      <c r="AQ253" s="22"/>
      <c r="AR253" s="22"/>
      <c r="AS253" s="22"/>
    </row>
    <row r="254" spans="1:45" x14ac:dyDescent="0.3">
      <c r="A254" s="22"/>
      <c r="B254" s="71"/>
      <c r="C254" s="22"/>
      <c r="D254" s="23"/>
      <c r="E254" s="22"/>
      <c r="F254" s="22"/>
      <c r="G254" s="22"/>
      <c r="H254" s="23"/>
      <c r="I254" s="22"/>
      <c r="J254" s="22"/>
      <c r="K254" s="22"/>
      <c r="L254" s="23"/>
      <c r="M254" s="71"/>
      <c r="N254" s="71"/>
      <c r="O254" s="22"/>
      <c r="P254" s="22"/>
      <c r="Q254" s="22"/>
      <c r="R254" s="71"/>
      <c r="AC254" s="22"/>
      <c r="AD254" s="22"/>
      <c r="AE254" s="22"/>
      <c r="AF254" s="22"/>
      <c r="AG254" s="22"/>
      <c r="AH254" s="22"/>
      <c r="AI254" s="22"/>
      <c r="AJ254" s="22"/>
      <c r="AK254" s="22"/>
      <c r="AL254" s="22"/>
      <c r="AM254" s="22"/>
      <c r="AN254" s="22"/>
      <c r="AO254" s="22"/>
      <c r="AP254" s="22"/>
      <c r="AQ254" s="22"/>
      <c r="AR254" s="22"/>
      <c r="AS254" s="22"/>
    </row>
  </sheetData>
  <sheetProtection algorithmName="SHA-512" hashValue="WVbEw7MvvVj5Jyf1n3BxWP8qu8xTqo5Quc8O2p+4kQuFlvrI/nb1d4sByEndsue+tgjB7TZuAZXGwkwrGz8m0g==" saltValue="MfipajZJ34mRAfSItS+63Q=="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33:J35 C36:L50">
    <cfRule type="expression" dxfId="29" priority="6">
      <formula>INDEX(Status_Systeme,$A$2)=TRUE</formula>
    </cfRule>
  </conditionalFormatting>
  <conditionalFormatting sqref="C33:J35">
    <cfRule type="expression" dxfId="28" priority="5">
      <formula>AND(INDEX(Status_Systeme,$A$2)=TRUE,C33&lt;&gt;"")</formula>
    </cfRule>
    <cfRule type="expression" dxfId="27" priority="12">
      <formula>AND(INDEX(Status_Systeme,$A$2)=FALSE,C33="",$S33&gt;0,$S33&lt;3)</formula>
    </cfRule>
    <cfRule type="expression" dxfId="26" priority="15">
      <formula>AND(INDEX(Status_Systeme,$A$2)=FALSE,$S33=0)</formula>
    </cfRule>
  </conditionalFormatting>
  <conditionalFormatting sqref="C2:L6">
    <cfRule type="iconSet" priority="18">
      <iconSet iconSet="3Symbols" showValue="0">
        <cfvo type="percent" val="0"/>
        <cfvo type="num" val="1"/>
        <cfvo type="num" val="2"/>
      </iconSet>
    </cfRule>
  </conditionalFormatting>
  <conditionalFormatting sqref="C18:L32">
    <cfRule type="expression" dxfId="25" priority="2">
      <formula>INDEX(Status_Systeme,$A$2)=TRUE</formula>
    </cfRule>
  </conditionalFormatting>
  <conditionalFormatting sqref="C48:L50">
    <cfRule type="expression" dxfId="24" priority="11">
      <formula>EA_PV_Status=FALSE</formula>
    </cfRule>
  </conditionalFormatting>
  <conditionalFormatting sqref="G20:I31">
    <cfRule type="expression" dxfId="23" priority="13">
      <formula>AND(O20&lt;&gt;"",S20=FALSE)</formula>
    </cfRule>
    <cfRule type="expression" dxfId="22" priority="16">
      <formula>AND(INDEX(Status_Systeme,$A$2)=FALSE,G20="",S20=TRUE)</formula>
    </cfRule>
  </conditionalFormatting>
  <conditionalFormatting sqref="G20:I35 C33:F35 J33:J35">
    <cfRule type="expression" dxfId="21" priority="14">
      <formula>C20&lt;&gt;""</formula>
    </cfRule>
  </conditionalFormatting>
  <conditionalFormatting sqref="G44:I44">
    <cfRule type="expression" dxfId="20" priority="7">
      <formula>Basis_mod_HWB=TRUE</formula>
    </cfRule>
  </conditionalFormatting>
  <conditionalFormatting sqref="G45:I45">
    <cfRule type="expression" dxfId="19" priority="17">
      <formula>Basis_mod_WWWB=TRUE</formula>
    </cfRule>
  </conditionalFormatting>
  <conditionalFormatting sqref="J40">
    <cfRule type="expression" dxfId="18" priority="10">
      <formula>Basis_mod_Betrieb=TRUE</formula>
    </cfRule>
  </conditionalFormatting>
  <conditionalFormatting sqref="J44:J45">
    <cfRule type="expression" dxfId="17" priority="9">
      <formula>Basis_mod_Energiekosten=TRUE</formula>
    </cfRule>
  </conditionalFormatting>
  <conditionalFormatting sqref="J49:J50">
    <cfRule type="expression" dxfId="16" priority="8">
      <formula>Basis_mod_Energiekosten=TRUE</formula>
    </cfRule>
  </conditionalFormatting>
  <conditionalFormatting sqref="K33:L35">
    <cfRule type="expression" dxfId="15" priority="1">
      <formula>INDEX(Status_Systeme,$A$2)=TRUE</formula>
    </cfRule>
  </conditionalFormatting>
  <dataValidations count="3">
    <dataValidation type="whole" allowBlank="1" showInputMessage="1" showErrorMessage="1" sqref="A10" xr:uid="{00000000-0002-0000-0700-000000000000}">
      <formula1>0</formula1>
      <formula2>0</formula2>
    </dataValidation>
    <dataValidation type="whole" operator="greaterThan" allowBlank="1" showInputMessage="1" showErrorMessage="1" errorTitle="Ungültige Eingabe" error="Bitte geben Sie einen Betrag größer als 0 an." sqref="G20:I23 G25:I31 G33:I35" xr:uid="{00000000-0002-0000-0700-000001000000}">
      <formula1>0</formula1>
    </dataValidation>
    <dataValidation operator="greaterThan" allowBlank="1" showInputMessage="1" showErrorMessage="1" sqref="J40" xr:uid="{00000000-0002-0000-0700-000002000000}"/>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700-000003000000}">
          <x14:formula1>
            <xm:f>Auswahl!$E$3</xm:f>
          </x14:formula1>
          <x14:formula2>
            <xm:f>Auswahl!$E$4</xm:f>
          </x14:formula2>
          <xm:sqref>J33:J35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82919C"/>
  </sheetPr>
  <dimension ref="A1:AP170"/>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20" customWidth="1"/>
    <col min="3" max="3" width="25" style="20" customWidth="1"/>
    <col min="4" max="4" width="3.5703125" style="21" customWidth="1"/>
    <col min="5" max="5" width="0.7109375" style="20" customWidth="1"/>
    <col min="6" max="6" width="11.42578125" style="20" customWidth="1"/>
    <col min="7" max="7" width="3.5703125" style="20" customWidth="1"/>
    <col min="8" max="8" width="8.5703125" style="20" customWidth="1"/>
    <col min="9" max="9" width="1.42578125" style="20" customWidth="1"/>
    <col min="10" max="10" width="3.5703125" style="21" customWidth="1"/>
    <col min="11" max="11" width="0.7109375" style="20" customWidth="1"/>
    <col min="12" max="12" width="5.7109375" style="20" customWidth="1"/>
    <col min="13" max="13" width="8.5703125" style="20" customWidth="1"/>
    <col min="14" max="14" width="2.85546875" style="20" customWidth="1"/>
    <col min="15" max="15" width="7.85546875" style="20" customWidth="1"/>
    <col min="16" max="16" width="3.5703125" style="21" customWidth="1"/>
    <col min="17" max="17" width="0.7109375" style="20" customWidth="1"/>
    <col min="18" max="18" width="2.5703125" style="20" customWidth="1"/>
    <col min="19" max="19" width="26" style="20" customWidth="1"/>
    <col min="20" max="20" width="16.7109375" style="20" customWidth="1"/>
    <col min="21" max="16384" width="11.42578125" style="20"/>
  </cols>
  <sheetData>
    <row r="1" spans="1:42" x14ac:dyDescent="0.3">
      <c r="A1" s="22"/>
      <c r="B1" s="22"/>
      <c r="C1" s="22"/>
      <c r="D1" s="23"/>
      <c r="E1" s="22"/>
      <c r="F1" s="22"/>
      <c r="G1" s="22"/>
      <c r="H1" s="22"/>
      <c r="I1" s="22"/>
      <c r="J1" s="23"/>
      <c r="K1" s="22"/>
      <c r="L1" s="22"/>
      <c r="M1" s="22"/>
      <c r="N1" s="22"/>
      <c r="O1" s="22"/>
      <c r="P1" s="23"/>
      <c r="Q1" s="22"/>
      <c r="R1" s="22"/>
      <c r="S1" s="22"/>
      <c r="T1" s="22"/>
      <c r="U1" s="22"/>
      <c r="V1" s="22"/>
      <c r="W1" s="22"/>
      <c r="X1" s="22"/>
      <c r="Y1" s="22"/>
      <c r="Z1" s="22"/>
      <c r="AA1" s="22"/>
      <c r="AB1" s="22"/>
      <c r="AC1" s="22"/>
      <c r="AD1" s="22"/>
      <c r="AE1" s="22"/>
      <c r="AF1" s="22"/>
      <c r="AG1" s="22"/>
      <c r="AH1" s="22"/>
      <c r="AI1" s="22"/>
      <c r="AJ1" s="22"/>
      <c r="AK1" s="22"/>
      <c r="AL1" s="22"/>
      <c r="AM1" s="22"/>
      <c r="AN1" s="22"/>
      <c r="AO1" s="22"/>
      <c r="AP1" s="22"/>
    </row>
    <row r="2" spans="1:42" ht="18.75" customHeight="1" x14ac:dyDescent="0.3">
      <c r="A2" s="45">
        <v>7</v>
      </c>
      <c r="B2" s="36"/>
      <c r="C2" s="38" t="str">
        <f>" "&amp;INDEX(Auswahl!$G$2:$G$10,1+0)&amp;" | "&amp;INDEX(Auswahl!$H$2:$H$10,1+0)</f>
        <v xml:space="preserve"> A | Antragsformular</v>
      </c>
      <c r="D2" s="156">
        <f>IF(Auswahl!$I$2=TRUE,2,0)</f>
        <v>0</v>
      </c>
      <c r="E2" s="30"/>
      <c r="F2" s="38" t="str">
        <f>" "&amp;INDEX(Auswahl!$G$2:$G$10,1+3)&amp;" | "&amp;INDEX(Auswahl!$H$2:$H$10,1+3)</f>
        <v xml:space="preserve"> 2 | Pelletsanlage</v>
      </c>
      <c r="G2" s="44"/>
      <c r="H2" s="44"/>
      <c r="I2" s="44"/>
      <c r="J2" s="156">
        <f>IF(Auswahl!$I$5=TRUE,2,0)</f>
        <v>0</v>
      </c>
      <c r="K2" s="152"/>
      <c r="L2" s="38" t="str">
        <f>" "&amp;INDEX(Auswahl!$G$2:$G$10,1+6)&amp;" | "&amp;INDEX(Auswahl!$H$2:$H$10,1+6)</f>
        <v xml:space="preserve"> 5 | Wärmepumpe (Wasser)</v>
      </c>
      <c r="M2" s="44"/>
      <c r="N2" s="44"/>
      <c r="O2" s="44"/>
      <c r="P2" s="156">
        <f>IF(Auswahl!$I$8=TRUE,2,0)</f>
        <v>0</v>
      </c>
      <c r="Q2" s="26"/>
      <c r="R2" s="26"/>
      <c r="S2" s="22"/>
      <c r="T2" s="22"/>
      <c r="U2" s="22"/>
      <c r="V2" s="22"/>
      <c r="W2" s="22"/>
      <c r="X2" s="22"/>
      <c r="Y2" s="22"/>
      <c r="Z2" s="22"/>
      <c r="AA2" s="22"/>
      <c r="AB2" s="22"/>
      <c r="AC2" s="22"/>
      <c r="AD2" s="22"/>
      <c r="AE2" s="22"/>
      <c r="AF2" s="22"/>
      <c r="AG2" s="22"/>
      <c r="AH2" s="22"/>
      <c r="AI2" s="22"/>
      <c r="AJ2" s="22"/>
      <c r="AK2" s="22"/>
      <c r="AL2" s="22"/>
      <c r="AM2" s="22"/>
      <c r="AN2" s="22"/>
      <c r="AO2" s="22"/>
      <c r="AP2" s="22"/>
    </row>
    <row r="3" spans="1:42" ht="3.75" customHeight="1" x14ac:dyDescent="0.3">
      <c r="A3" s="36"/>
      <c r="B3" s="36"/>
      <c r="C3" s="33"/>
      <c r="D3" s="27"/>
      <c r="E3" s="30"/>
      <c r="F3" s="34"/>
      <c r="G3" s="34"/>
      <c r="H3" s="34"/>
      <c r="I3" s="34"/>
      <c r="J3" s="153"/>
      <c r="K3" s="152"/>
      <c r="L3" s="33"/>
      <c r="M3" s="33"/>
      <c r="N3" s="33"/>
      <c r="O3" s="33"/>
      <c r="P3" s="154"/>
      <c r="Q3" s="26"/>
      <c r="R3" s="26"/>
      <c r="S3" s="22"/>
      <c r="T3" s="22"/>
      <c r="U3" s="22"/>
      <c r="V3" s="22"/>
      <c r="W3" s="22"/>
      <c r="X3" s="22"/>
      <c r="Y3" s="22"/>
      <c r="Z3" s="22"/>
      <c r="AA3" s="22"/>
      <c r="AB3" s="22"/>
      <c r="AC3" s="22"/>
      <c r="AD3" s="22"/>
      <c r="AE3" s="22"/>
      <c r="AF3" s="22"/>
      <c r="AG3" s="22"/>
      <c r="AH3" s="22"/>
      <c r="AI3" s="22"/>
      <c r="AJ3" s="22"/>
      <c r="AK3" s="22"/>
      <c r="AL3" s="22"/>
      <c r="AM3" s="22"/>
      <c r="AN3" s="22"/>
      <c r="AO3" s="22"/>
      <c r="AP3" s="22"/>
    </row>
    <row r="4" spans="1:42" ht="18.75" customHeight="1" x14ac:dyDescent="0.3">
      <c r="A4" s="334" t="s">
        <v>78</v>
      </c>
      <c r="B4" s="36"/>
      <c r="C4" s="38" t="str">
        <f>" "&amp;INDEX(Auswahl!$G$2:$G$10,1+1)&amp;" | "&amp;INDEX(Auswahl!$H$2:$H$10,1+1)</f>
        <v xml:space="preserve"> 0 | Basisangaben</v>
      </c>
      <c r="D4" s="156">
        <f>IF(Auswahl!$I$3=TRUE,2,0)</f>
        <v>0</v>
      </c>
      <c r="E4" s="30"/>
      <c r="F4" s="38" t="str">
        <f>" "&amp;INDEX(Auswahl!$G$2:$G$10,1+4)&amp;" | "&amp;INDEX(Auswahl!$H$2:$H$10,1+4)</f>
        <v xml:space="preserve"> 3 | Nah- /Fernwärme (ern.)</v>
      </c>
      <c r="G4" s="44"/>
      <c r="H4" s="44"/>
      <c r="I4" s="44"/>
      <c r="J4" s="40">
        <f>IF(Auswahl!$I$6=TRUE,2,0)</f>
        <v>0</v>
      </c>
      <c r="K4" s="152"/>
      <c r="L4" s="38" t="str">
        <f>" "&amp;INDEX(Auswahl!$G$2:$G$10,1+7)&amp;" | "&amp;INDEX(Auswahl!$H$2:$H$10,1+7)</f>
        <v xml:space="preserve"> 6 | Wärmepumpe (Sole)</v>
      </c>
      <c r="M4" s="44"/>
      <c r="N4" s="44"/>
      <c r="O4" s="44"/>
      <c r="P4" s="156">
        <f>IF(Auswahl!$I$9=TRUE,2,0)</f>
        <v>0</v>
      </c>
      <c r="Q4" s="28"/>
      <c r="R4" s="28"/>
      <c r="S4" s="335"/>
      <c r="T4" s="22"/>
      <c r="U4" s="22"/>
      <c r="V4" s="22"/>
      <c r="W4" s="22"/>
      <c r="X4" s="22"/>
      <c r="Y4" s="22"/>
      <c r="Z4" s="22"/>
      <c r="AA4" s="22"/>
      <c r="AB4" s="22"/>
      <c r="AC4" s="22"/>
      <c r="AD4" s="22"/>
      <c r="AE4" s="22"/>
      <c r="AF4" s="22"/>
      <c r="AG4" s="22"/>
      <c r="AH4" s="22"/>
      <c r="AI4" s="22"/>
      <c r="AJ4" s="22"/>
      <c r="AK4" s="22"/>
      <c r="AL4" s="22"/>
      <c r="AM4" s="22"/>
      <c r="AN4" s="22"/>
      <c r="AO4" s="22"/>
      <c r="AP4" s="22"/>
    </row>
    <row r="5" spans="1:42" ht="3.75" customHeight="1" x14ac:dyDescent="0.3">
      <c r="A5" s="334"/>
      <c r="B5" s="36"/>
      <c r="C5" s="33"/>
      <c r="D5" s="153"/>
      <c r="E5" s="30"/>
      <c r="F5" s="34"/>
      <c r="G5" s="34"/>
      <c r="H5" s="34"/>
      <c r="I5" s="34"/>
      <c r="J5" s="153"/>
      <c r="K5" s="152"/>
      <c r="L5" s="33"/>
      <c r="M5" s="33"/>
      <c r="N5" s="33"/>
      <c r="O5" s="33"/>
      <c r="P5" s="154"/>
      <c r="Q5" s="28"/>
      <c r="R5" s="28"/>
      <c r="S5" s="335"/>
      <c r="T5" s="22"/>
      <c r="U5" s="22"/>
      <c r="V5" s="22"/>
      <c r="W5" s="22"/>
      <c r="X5" s="22"/>
      <c r="Y5" s="22"/>
      <c r="Z5" s="22"/>
      <c r="AA5" s="22"/>
      <c r="AB5" s="22"/>
      <c r="AC5" s="22"/>
      <c r="AD5" s="22"/>
      <c r="AE5" s="22"/>
      <c r="AF5" s="22"/>
      <c r="AG5" s="22"/>
      <c r="AH5" s="22"/>
      <c r="AI5" s="22"/>
      <c r="AJ5" s="22"/>
      <c r="AK5" s="22"/>
      <c r="AL5" s="22"/>
      <c r="AM5" s="22"/>
      <c r="AN5" s="22"/>
      <c r="AO5" s="22"/>
      <c r="AP5" s="22"/>
    </row>
    <row r="6" spans="1:42" ht="18.75" customHeight="1" x14ac:dyDescent="0.3">
      <c r="A6" s="334"/>
      <c r="B6" s="36"/>
      <c r="C6" s="38" t="str">
        <f>" "&amp;INDEX(Auswahl!$G$2:$G$10,1+2)&amp;" | "&amp;INDEX(Auswahl!$H$2:$H$10,1+2)</f>
        <v xml:space="preserve"> 1 | Bitte wählen…</v>
      </c>
      <c r="D6" s="156">
        <f>IF(Auswahl!$I$4=TRUE,2,0)</f>
        <v>0</v>
      </c>
      <c r="E6" s="30"/>
      <c r="F6" s="38" t="str">
        <f>" "&amp;INDEX(Auswahl!$G$2:$G$10,1+5)&amp;" | "&amp;INDEX(Auswahl!$H$2:$H$10,1+5)</f>
        <v xml:space="preserve"> 4 | Wärmepumpe (Luft)</v>
      </c>
      <c r="G6" s="44"/>
      <c r="H6" s="44"/>
      <c r="I6" s="44"/>
      <c r="J6" s="156">
        <f>IF(Auswahl!$I$7=TRUE,2,0)</f>
        <v>0</v>
      </c>
      <c r="K6" s="152"/>
      <c r="L6" s="39" t="str">
        <f>" "&amp;INDEX(Auswahl!$G$2:$G$10,1+8)&amp;" | "&amp;INDEX(Auswahl!$H$2:$H$10,1+8)</f>
        <v xml:space="preserve"> 7 | Rahmenbedingungen</v>
      </c>
      <c r="M6" s="151"/>
      <c r="N6" s="151"/>
      <c r="O6" s="151"/>
      <c r="P6" s="175">
        <f>IF(Auswahl!$I$10=TRUE,2,0)</f>
        <v>0</v>
      </c>
      <c r="Q6" s="28"/>
      <c r="R6" s="28"/>
      <c r="S6" s="335"/>
      <c r="T6" s="22"/>
      <c r="U6" s="22"/>
      <c r="V6" s="22"/>
      <c r="W6" s="22"/>
      <c r="X6" s="22"/>
      <c r="Y6" s="22"/>
      <c r="Z6" s="22"/>
      <c r="AA6" s="22"/>
      <c r="AB6" s="22"/>
      <c r="AC6" s="22"/>
      <c r="AD6" s="22"/>
      <c r="AE6" s="22"/>
      <c r="AF6" s="22"/>
      <c r="AG6" s="22"/>
      <c r="AH6" s="22"/>
      <c r="AI6" s="22"/>
      <c r="AJ6" s="22"/>
      <c r="AK6" s="22"/>
      <c r="AL6" s="22"/>
      <c r="AM6" s="22"/>
      <c r="AN6" s="22"/>
      <c r="AO6" s="22"/>
      <c r="AP6" s="22"/>
    </row>
    <row r="7" spans="1:42" ht="6.75" customHeight="1" x14ac:dyDescent="0.3">
      <c r="A7" s="22"/>
      <c r="B7" s="22"/>
      <c r="C7" s="29"/>
      <c r="D7" s="154"/>
      <c r="E7" s="24"/>
      <c r="F7" s="29"/>
      <c r="G7" s="29"/>
      <c r="H7" s="29"/>
      <c r="I7" s="29"/>
      <c r="J7" s="154"/>
      <c r="K7" s="155"/>
      <c r="L7" s="29"/>
      <c r="M7" s="29"/>
      <c r="N7" s="29"/>
      <c r="O7" s="29"/>
      <c r="P7" s="154"/>
      <c r="Q7" s="28"/>
      <c r="R7" s="28"/>
      <c r="S7" s="335"/>
      <c r="T7" s="22"/>
      <c r="U7" s="22"/>
      <c r="V7" s="22"/>
      <c r="W7" s="22"/>
      <c r="X7" s="22"/>
      <c r="Y7" s="22"/>
      <c r="Z7" s="22"/>
      <c r="AA7" s="22"/>
      <c r="AB7" s="22"/>
      <c r="AC7" s="22"/>
      <c r="AD7" s="22"/>
      <c r="AE7" s="22"/>
      <c r="AF7" s="22"/>
      <c r="AG7" s="22"/>
      <c r="AH7" s="22"/>
      <c r="AI7" s="22"/>
      <c r="AJ7" s="22"/>
      <c r="AK7" s="22"/>
      <c r="AL7" s="22"/>
      <c r="AM7" s="22"/>
      <c r="AN7" s="22"/>
      <c r="AO7" s="22"/>
      <c r="AP7" s="22"/>
    </row>
    <row r="8" spans="1:42" ht="12.75" customHeight="1" x14ac:dyDescent="0.3">
      <c r="A8" s="22"/>
      <c r="B8" s="35"/>
      <c r="C8" s="35"/>
      <c r="D8" s="31"/>
      <c r="E8" s="24"/>
      <c r="F8" s="24"/>
      <c r="G8" s="24"/>
      <c r="H8" s="24"/>
      <c r="I8" s="24"/>
      <c r="J8" s="31"/>
      <c r="K8" s="24"/>
      <c r="L8" s="24"/>
      <c r="M8" s="24"/>
      <c r="N8" s="24"/>
      <c r="O8" s="24"/>
      <c r="P8" s="31"/>
      <c r="Q8" s="24"/>
      <c r="R8" s="24"/>
      <c r="S8" s="22"/>
      <c r="T8" s="22"/>
      <c r="U8" s="22"/>
      <c r="V8" s="22"/>
      <c r="W8" s="22"/>
      <c r="X8" s="22"/>
      <c r="Y8" s="22"/>
      <c r="Z8" s="22"/>
      <c r="AA8" s="22"/>
      <c r="AB8" s="22"/>
      <c r="AC8" s="22"/>
      <c r="AD8" s="22"/>
      <c r="AE8" s="22"/>
      <c r="AF8" s="22"/>
      <c r="AG8" s="22"/>
      <c r="AH8" s="22"/>
      <c r="AI8" s="22"/>
      <c r="AJ8" s="22"/>
      <c r="AK8" s="22"/>
      <c r="AL8" s="22"/>
      <c r="AM8" s="22"/>
      <c r="AN8" s="22"/>
      <c r="AO8" s="22"/>
      <c r="AP8" s="22"/>
    </row>
    <row r="9" spans="1:42" ht="3.75" customHeight="1" x14ac:dyDescent="0.3">
      <c r="A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ht="20.25" x14ac:dyDescent="0.3">
      <c r="A10" s="277"/>
      <c r="C10" s="46" t="str">
        <f>$A$2&amp;". "&amp;UPPER(VLOOKUP($A$2,Navigation,2,FALSE))</f>
        <v>7. RAHMENBEDINGUNGEN</v>
      </c>
      <c r="D10" s="47"/>
      <c r="E10" s="48"/>
      <c r="F10" s="48"/>
      <c r="G10" s="48"/>
      <c r="H10" s="48"/>
      <c r="I10" s="48"/>
      <c r="J10" s="48"/>
      <c r="K10" s="48"/>
      <c r="L10" s="400" t="str">
        <f>IF(Auswahl!$I$10=TRUE,"",UPPER("unvollständig"))</f>
        <v>UNVOLLSTÄNDIG</v>
      </c>
      <c r="M10" s="400"/>
      <c r="N10" s="400"/>
      <c r="O10" s="400"/>
      <c r="P10" s="400"/>
      <c r="Q10" s="50"/>
      <c r="R10" s="24"/>
      <c r="S10" s="24"/>
      <c r="T10" s="22"/>
      <c r="U10" s="22"/>
      <c r="V10" s="22"/>
      <c r="W10" s="22"/>
      <c r="X10" s="22"/>
      <c r="Y10" s="22"/>
      <c r="Z10" s="22"/>
      <c r="AA10" s="22"/>
      <c r="AB10" s="22"/>
      <c r="AC10" s="22"/>
      <c r="AD10" s="22"/>
      <c r="AE10" s="22"/>
      <c r="AF10" s="22"/>
      <c r="AG10" s="22"/>
      <c r="AH10" s="22"/>
      <c r="AI10" s="22"/>
      <c r="AJ10" s="22"/>
      <c r="AK10" s="22"/>
      <c r="AL10" s="22"/>
      <c r="AM10" s="22"/>
      <c r="AN10" s="22"/>
      <c r="AO10" s="22"/>
      <c r="AP10" s="22"/>
    </row>
    <row r="11" spans="1:42" x14ac:dyDescent="0.3">
      <c r="A11" s="22"/>
      <c r="C11" s="48"/>
      <c r="D11" s="48"/>
      <c r="E11" s="48"/>
      <c r="F11" s="48"/>
      <c r="G11" s="48"/>
      <c r="H11" s="48"/>
      <c r="I11" s="48"/>
      <c r="J11" s="48"/>
      <c r="K11" s="48"/>
      <c r="L11" s="48"/>
      <c r="M11" s="48"/>
      <c r="N11" s="48"/>
      <c r="O11" s="48"/>
      <c r="P11" s="49"/>
      <c r="Q11" s="50"/>
      <c r="R11" s="24"/>
      <c r="S11" s="24"/>
      <c r="T11" s="22"/>
      <c r="U11" s="22"/>
      <c r="V11" s="22"/>
      <c r="W11" s="22"/>
      <c r="X11" s="22"/>
      <c r="Y11" s="22"/>
      <c r="Z11" s="22"/>
      <c r="AA11" s="22"/>
      <c r="AB11" s="22"/>
      <c r="AC11" s="22"/>
      <c r="AD11" s="22"/>
      <c r="AE11" s="22"/>
      <c r="AF11" s="22"/>
      <c r="AG11" s="22"/>
      <c r="AH11" s="22"/>
      <c r="AI11" s="22"/>
      <c r="AJ11" s="22"/>
      <c r="AK11" s="22"/>
      <c r="AL11" s="22"/>
      <c r="AM11" s="22"/>
      <c r="AN11" s="22"/>
      <c r="AO11" s="22"/>
      <c r="AP11" s="22"/>
    </row>
    <row r="12" spans="1:42" x14ac:dyDescent="0.3">
      <c r="A12" s="22"/>
      <c r="C12" s="47" t="str">
        <f>$A$2&amp;".1 "&amp;UPPER("Übersicht Wirtschaftlichkeit Energiesysteme")</f>
        <v>7.1 ÜBERSICHT WIRTSCHAFTLICHKEIT ENERGIESYSTEME</v>
      </c>
      <c r="D12" s="47"/>
      <c r="E12" s="48"/>
      <c r="F12" s="48"/>
      <c r="G12" s="48"/>
      <c r="H12" s="48"/>
      <c r="I12" s="48"/>
      <c r="J12" s="48"/>
      <c r="K12" s="48"/>
      <c r="L12" s="48"/>
      <c r="M12" s="48"/>
      <c r="N12" s="48"/>
      <c r="O12" s="48"/>
      <c r="P12" s="48"/>
      <c r="Q12" s="48"/>
      <c r="R12" s="29"/>
      <c r="S12" s="24"/>
      <c r="T12" s="22"/>
      <c r="U12" s="22"/>
      <c r="V12" s="22"/>
      <c r="W12" s="22"/>
      <c r="X12" s="22"/>
      <c r="Y12" s="22"/>
      <c r="Z12" s="22"/>
      <c r="AA12" s="22"/>
      <c r="AB12" s="22"/>
      <c r="AC12" s="22"/>
      <c r="AD12" s="22"/>
      <c r="AE12" s="22"/>
      <c r="AF12" s="22"/>
      <c r="AG12" s="22"/>
      <c r="AH12" s="22"/>
      <c r="AI12" s="22"/>
      <c r="AJ12" s="22"/>
      <c r="AK12" s="22"/>
      <c r="AL12" s="22"/>
      <c r="AM12" s="22"/>
      <c r="AN12" s="22"/>
      <c r="AO12" s="22"/>
      <c r="AP12" s="22"/>
    </row>
    <row r="13" spans="1:42" ht="7.5" customHeight="1" x14ac:dyDescent="0.3">
      <c r="A13" s="22"/>
      <c r="C13" s="150"/>
      <c r="D13" s="150"/>
      <c r="E13" s="150"/>
      <c r="F13" s="150"/>
      <c r="G13" s="150"/>
      <c r="H13" s="150"/>
      <c r="I13" s="150"/>
      <c r="J13" s="150"/>
      <c r="K13" s="150"/>
      <c r="L13" s="150"/>
      <c r="M13" s="150"/>
      <c r="N13" s="150"/>
      <c r="O13" s="150"/>
      <c r="P13" s="150"/>
      <c r="Q13" s="48"/>
      <c r="R13" s="29"/>
      <c r="S13" s="24"/>
      <c r="T13" s="22"/>
      <c r="U13" s="22"/>
      <c r="V13" s="22"/>
      <c r="W13" s="22"/>
      <c r="X13" s="22"/>
      <c r="Y13" s="22"/>
      <c r="Z13" s="22"/>
      <c r="AA13" s="22"/>
      <c r="AB13" s="22"/>
      <c r="AC13" s="22"/>
      <c r="AD13" s="22"/>
      <c r="AE13" s="22"/>
      <c r="AF13" s="22"/>
      <c r="AG13" s="22"/>
      <c r="AH13" s="22"/>
      <c r="AI13" s="22"/>
      <c r="AJ13" s="22"/>
      <c r="AK13" s="22"/>
      <c r="AL13" s="22"/>
      <c r="AM13" s="22"/>
      <c r="AN13" s="22"/>
      <c r="AO13" s="22"/>
      <c r="AP13" s="22"/>
    </row>
    <row r="14" spans="1:42" ht="12" customHeight="1" x14ac:dyDescent="0.3">
      <c r="A14" s="22"/>
      <c r="C14" s="393" t="s">
        <v>286</v>
      </c>
      <c r="D14" s="393"/>
      <c r="E14" s="393"/>
      <c r="F14" s="393"/>
      <c r="G14" s="393"/>
      <c r="H14" s="393"/>
      <c r="I14" s="393"/>
      <c r="J14" s="393"/>
      <c r="K14" s="393"/>
      <c r="L14" s="393"/>
      <c r="M14" s="393"/>
      <c r="N14" s="393"/>
      <c r="O14" s="393"/>
      <c r="P14" s="393"/>
      <c r="Q14" s="48"/>
      <c r="R14" s="29"/>
      <c r="S14" s="24"/>
      <c r="T14" s="22"/>
      <c r="U14" s="22"/>
      <c r="V14" s="22"/>
      <c r="W14" s="22"/>
      <c r="X14" s="22"/>
      <c r="Y14" s="22"/>
      <c r="Z14" s="22"/>
      <c r="AA14" s="22"/>
      <c r="AB14" s="22"/>
      <c r="AC14" s="22"/>
      <c r="AD14" s="22"/>
      <c r="AE14" s="22"/>
      <c r="AF14" s="22"/>
      <c r="AG14" s="22"/>
      <c r="AH14" s="22"/>
      <c r="AI14" s="22"/>
      <c r="AJ14" s="22"/>
      <c r="AK14" s="22"/>
      <c r="AL14" s="22"/>
      <c r="AM14" s="22"/>
      <c r="AN14" s="22"/>
      <c r="AO14" s="22"/>
      <c r="AP14" s="22"/>
    </row>
    <row r="15" spans="1:42" ht="27" customHeight="1" x14ac:dyDescent="0.3">
      <c r="A15" s="22"/>
      <c r="C15" s="393" t="s">
        <v>287</v>
      </c>
      <c r="D15" s="393"/>
      <c r="E15" s="393"/>
      <c r="F15" s="393"/>
      <c r="G15" s="393"/>
      <c r="H15" s="393"/>
      <c r="I15" s="452" t="str">
        <f>IF(OR(ISERROR(INDEX(Tabellen!$AV$5:$AV$10,Auswahl!$M$4))=TRUE,SUM(D18:D23)=0),"Eingaben unvollständig!",INDEX(Tabellen!$AV$5:$AV$10,Auswahl!$M$4))</f>
        <v>Eingaben unvollständig!</v>
      </c>
      <c r="J15" s="452"/>
      <c r="K15" s="452"/>
      <c r="L15" s="452"/>
      <c r="M15" s="452"/>
      <c r="N15" s="452"/>
      <c r="O15" s="452"/>
      <c r="P15" s="452"/>
      <c r="Q15" s="48"/>
      <c r="R15" s="29"/>
      <c r="S15" s="30"/>
      <c r="T15" s="22"/>
      <c r="U15" s="22"/>
      <c r="V15" s="22"/>
      <c r="W15" s="22"/>
      <c r="X15" s="22"/>
      <c r="Y15" s="22"/>
      <c r="Z15" s="22"/>
      <c r="AA15" s="22"/>
      <c r="AB15" s="22"/>
      <c r="AC15" s="22"/>
      <c r="AD15" s="22"/>
      <c r="AE15" s="22"/>
      <c r="AF15" s="22"/>
      <c r="AG15" s="22"/>
      <c r="AH15" s="22"/>
      <c r="AI15" s="22"/>
      <c r="AJ15" s="22"/>
      <c r="AK15" s="22"/>
      <c r="AL15" s="22"/>
      <c r="AM15" s="22"/>
      <c r="AN15" s="22"/>
      <c r="AO15" s="22"/>
      <c r="AP15" s="22"/>
    </row>
    <row r="16" spans="1:42" ht="16.5" customHeight="1" x14ac:dyDescent="0.3">
      <c r="A16" s="22"/>
      <c r="C16" s="48"/>
      <c r="D16" s="48"/>
      <c r="E16" s="48"/>
      <c r="F16" s="410" t="s">
        <v>279</v>
      </c>
      <c r="G16" s="410"/>
      <c r="H16" s="410" t="str">
        <f>"CO2-Emissionen¹"&amp;CHAR(10)&amp;"nach "&amp;Basis_Betrachtungszeitraum&amp;"a [t]"</f>
        <v>CO2-Emissionen¹
nach 20a [t]</v>
      </c>
      <c r="I16" s="410"/>
      <c r="J16" s="410"/>
      <c r="K16" s="160"/>
      <c r="L16" s="48"/>
      <c r="M16" s="48"/>
      <c r="N16" s="48"/>
      <c r="O16" s="48"/>
      <c r="P16" s="48"/>
      <c r="Q16" s="48"/>
      <c r="R16" s="29"/>
      <c r="S16" s="30"/>
      <c r="T16" s="22"/>
      <c r="U16" s="22"/>
      <c r="V16" s="22"/>
      <c r="W16" s="22"/>
      <c r="X16" s="22"/>
      <c r="Y16" s="22"/>
      <c r="Z16" s="22"/>
      <c r="AA16" s="22"/>
      <c r="AB16" s="22"/>
      <c r="AC16" s="22"/>
      <c r="AD16" s="22"/>
      <c r="AE16" s="22"/>
      <c r="AF16" s="22"/>
      <c r="AG16" s="22"/>
      <c r="AH16" s="22"/>
      <c r="AI16" s="22"/>
      <c r="AJ16" s="22"/>
      <c r="AK16" s="22"/>
      <c r="AL16" s="22"/>
      <c r="AM16" s="22"/>
      <c r="AN16" s="22"/>
      <c r="AO16" s="22"/>
      <c r="AP16" s="22"/>
    </row>
    <row r="17" spans="1:42" x14ac:dyDescent="0.3">
      <c r="A17" s="22"/>
      <c r="C17" s="439" t="s">
        <v>48</v>
      </c>
      <c r="D17" s="439"/>
      <c r="E17" s="439"/>
      <c r="F17" s="441"/>
      <c r="G17" s="441"/>
      <c r="H17" s="441"/>
      <c r="I17" s="441"/>
      <c r="J17" s="441"/>
      <c r="K17" s="160"/>
      <c r="L17" s="48"/>
      <c r="M17" s="48"/>
      <c r="N17" s="48"/>
      <c r="O17" s="48"/>
      <c r="P17" s="48"/>
      <c r="Q17" s="48"/>
      <c r="R17" s="29"/>
      <c r="S17" s="30"/>
      <c r="T17" s="22"/>
      <c r="U17" s="22"/>
      <c r="V17" s="22"/>
      <c r="W17" s="22"/>
      <c r="X17" s="22"/>
      <c r="Y17" s="22"/>
      <c r="Z17" s="22"/>
      <c r="AA17" s="22"/>
      <c r="AB17" s="22"/>
      <c r="AC17" s="22"/>
      <c r="AD17" s="22"/>
      <c r="AE17" s="22"/>
      <c r="AF17" s="22"/>
      <c r="AG17" s="22"/>
      <c r="AH17" s="22"/>
      <c r="AI17" s="22"/>
      <c r="AJ17" s="22"/>
      <c r="AK17" s="22"/>
      <c r="AL17" s="22"/>
      <c r="AM17" s="22"/>
      <c r="AN17" s="22"/>
      <c r="AO17" s="22"/>
      <c r="AP17" s="22"/>
    </row>
    <row r="18" spans="1:42" x14ac:dyDescent="0.3">
      <c r="A18" s="22"/>
      <c r="B18" s="184" t="str">
        <f>IF(R18="","","!")</f>
        <v>!</v>
      </c>
      <c r="C18" s="81" t="str">
        <f>Auswahl!$G$4&amp;" | "&amp;Auswahl!$H$4</f>
        <v>1 | Bitte wählen…</v>
      </c>
      <c r="D18" s="255">
        <f>IF(Auswahl!$I$4=TRUE,2,0)</f>
        <v>0</v>
      </c>
      <c r="E18" s="81"/>
      <c r="F18" s="443" t="str">
        <f>IF(OR(Auswahl!I4=FALSE,Auswahl!L4=TRUE),"",SUM(Tabellen!AW5:AY5))</f>
        <v/>
      </c>
      <c r="G18" s="443"/>
      <c r="H18" s="442" t="str">
        <f>IF(Auswahl!I4=FALSE,"",('1'!$G$45*INDEX(Tabelle_Energie,MATCH('1'!$D$45,Tabelle_Energietraeger,0),4)+'1'!$G$46*INDEX(Tabelle_Energie,MATCH('1'!$D$46,Tabelle_Energietraeger,0),4)-IF(EA_PV_Status=TRUE,('1'!$G$50+'1'!$G$51)*Tabellen!$T$11,0))/1000000*Basis_Betrachtungszeitraum)</f>
        <v/>
      </c>
      <c r="I18" s="442"/>
      <c r="J18" s="442"/>
      <c r="K18" s="163"/>
      <c r="L18" s="164"/>
      <c r="M18" s="164"/>
      <c r="N18" s="164"/>
      <c r="O18" s="164"/>
      <c r="P18" s="164"/>
      <c r="Q18" s="48"/>
      <c r="R18" s="178" t="str">
        <f>IF(S18="","","ï")</f>
        <v>ï</v>
      </c>
      <c r="S18" s="268" t="str">
        <f t="shared" ref="S18:S23" si="0">IF(D18=0,TBS_Fehler_4,"")</f>
        <v>Bitte dieses Registerblatt vervollständigen.</v>
      </c>
      <c r="T18" s="22"/>
      <c r="U18" s="22"/>
      <c r="V18" s="22"/>
      <c r="W18" s="22"/>
      <c r="X18" s="22"/>
      <c r="Y18" s="22"/>
      <c r="Z18" s="22"/>
      <c r="AA18" s="22"/>
      <c r="AB18" s="22"/>
      <c r="AC18" s="22"/>
      <c r="AD18" s="300"/>
      <c r="AE18" s="22"/>
      <c r="AF18" s="22"/>
      <c r="AG18" s="22"/>
      <c r="AH18" s="22"/>
      <c r="AI18" s="22"/>
      <c r="AJ18" s="22"/>
      <c r="AK18" s="22"/>
      <c r="AL18" s="22"/>
      <c r="AM18" s="22"/>
      <c r="AN18" s="22"/>
      <c r="AO18" s="22"/>
      <c r="AP18" s="22"/>
    </row>
    <row r="19" spans="1:42" x14ac:dyDescent="0.3">
      <c r="A19" s="22"/>
      <c r="B19" s="184" t="str">
        <f t="shared" ref="B19:B23" si="1">IF(R19="","","!")</f>
        <v>!</v>
      </c>
      <c r="C19" s="248" t="str">
        <f>Auswahl!$G$5&amp;" | "&amp;Auswahl!$H$5</f>
        <v>2 | Pelletsanlage</v>
      </c>
      <c r="D19" s="254">
        <f>IF(Auswahl!$I$5=TRUE,2,0)</f>
        <v>0</v>
      </c>
      <c r="E19" s="248"/>
      <c r="F19" s="440" t="str">
        <f>IF(OR(Auswahl!I5=FALSE,Auswahl!L5=TRUE),"",SUM(Tabellen!AW6:AY6))</f>
        <v/>
      </c>
      <c r="G19" s="440"/>
      <c r="H19" s="444" t="str">
        <f>IF(OR(Auswahl!I5=FALSE,Auswahl!L5=TRUE),"",('2'!$G$44*INDEX(Tabelle_Energie,MATCH('2'!$D$44,Tabelle_Energietraeger,0),4)+'2'!$G$45*INDEX(Tabelle_Energie,MATCH('2'!$D$45,Tabelle_Energietraeger,0),4))/1000000*Basis_Betrachtungszeitraum)</f>
        <v/>
      </c>
      <c r="I19" s="444"/>
      <c r="J19" s="444"/>
      <c r="K19" s="161"/>
      <c r="L19" s="162"/>
      <c r="M19" s="162"/>
      <c r="N19" s="162"/>
      <c r="O19" s="162"/>
      <c r="P19" s="162"/>
      <c r="Q19" s="48"/>
      <c r="R19" s="178" t="str">
        <f t="shared" ref="R19:R23" si="2">IF(S19="","","ï")</f>
        <v>ï</v>
      </c>
      <c r="S19" s="268" t="str">
        <f t="shared" si="0"/>
        <v>Bitte dieses Registerblatt vervollständigen.</v>
      </c>
      <c r="T19" s="22"/>
      <c r="U19" s="22"/>
      <c r="V19" s="22"/>
      <c r="W19" s="22"/>
      <c r="X19" s="22"/>
      <c r="Y19" s="22"/>
      <c r="Z19" s="22"/>
      <c r="AA19" s="22"/>
      <c r="AB19" s="22"/>
      <c r="AC19" s="22"/>
      <c r="AD19" s="22"/>
      <c r="AE19" s="22"/>
      <c r="AF19" s="22"/>
      <c r="AG19" s="22"/>
      <c r="AH19" s="22"/>
      <c r="AI19" s="22"/>
      <c r="AJ19" s="22"/>
      <c r="AK19" s="22"/>
      <c r="AL19" s="22"/>
      <c r="AM19" s="22"/>
      <c r="AN19" s="22"/>
      <c r="AO19" s="22"/>
      <c r="AP19" s="22"/>
    </row>
    <row r="20" spans="1:42" x14ac:dyDescent="0.3">
      <c r="A20" s="22"/>
      <c r="B20" s="184" t="str">
        <f t="shared" si="1"/>
        <v>!</v>
      </c>
      <c r="C20" s="248" t="str">
        <f>Auswahl!$G$6&amp;" | "&amp;Auswahl!$H$6</f>
        <v>3 | Nah- /Fernwärme (ern.)</v>
      </c>
      <c r="D20" s="254">
        <f>IF(Auswahl!$I$6=TRUE,2,0)</f>
        <v>0</v>
      </c>
      <c r="E20" s="248"/>
      <c r="F20" s="440" t="str">
        <f>IF(OR(Auswahl!I6=FALSE,Auswahl!L6=TRUE),"",SUM(Tabellen!AW7:AY7))</f>
        <v/>
      </c>
      <c r="G20" s="440"/>
      <c r="H20" s="444" t="str">
        <f>IF(OR(Auswahl!I6=FALSE,Auswahl!L6=TRUE),"",('3'!$G$44*INDEX(Tabelle_Energie,MATCH('3'!$D$44,Tabelle_Energietraeger,0),4)+'3'!$G$45*INDEX(Tabelle_Energie,MATCH('3'!$D$45,Tabelle_Energietraeger,0),4))/1000000*Basis_Betrachtungszeitraum)</f>
        <v/>
      </c>
      <c r="I20" s="444"/>
      <c r="J20" s="444"/>
      <c r="K20" s="161"/>
      <c r="L20" s="162"/>
      <c r="M20" s="162"/>
      <c r="N20" s="162"/>
      <c r="O20" s="162"/>
      <c r="P20" s="162"/>
      <c r="Q20" s="48"/>
      <c r="R20" s="178" t="str">
        <f t="shared" si="2"/>
        <v>ï</v>
      </c>
      <c r="S20" s="268" t="str">
        <f t="shared" si="0"/>
        <v>Bitte dieses Registerblatt vervollständigen.</v>
      </c>
      <c r="T20" s="22"/>
      <c r="U20" s="22"/>
      <c r="V20" s="22"/>
      <c r="W20" s="22"/>
      <c r="X20" s="22"/>
      <c r="Y20" s="22"/>
      <c r="Z20" s="22"/>
      <c r="AA20" s="22"/>
      <c r="AB20" s="22"/>
      <c r="AC20" s="22"/>
      <c r="AD20" s="22"/>
      <c r="AE20" s="22"/>
      <c r="AF20" s="22"/>
      <c r="AG20" s="22"/>
      <c r="AH20" s="22"/>
      <c r="AI20" s="22"/>
      <c r="AJ20" s="22"/>
      <c r="AK20" s="22"/>
      <c r="AL20" s="22"/>
      <c r="AM20" s="22"/>
      <c r="AN20" s="22"/>
      <c r="AO20" s="22"/>
      <c r="AP20" s="22"/>
    </row>
    <row r="21" spans="1:42" x14ac:dyDescent="0.3">
      <c r="A21" s="22"/>
      <c r="B21" s="184" t="str">
        <f t="shared" si="1"/>
        <v>!</v>
      </c>
      <c r="C21" s="248" t="str">
        <f>Auswahl!$G$7&amp;" | "&amp;Auswahl!$H$7</f>
        <v>4 | Wärmepumpe (Luft)</v>
      </c>
      <c r="D21" s="254">
        <f>IF(Auswahl!$I$7=TRUE,2,0)</f>
        <v>0</v>
      </c>
      <c r="E21" s="248"/>
      <c r="F21" s="440" t="str">
        <f>IF(OR(Auswahl!I7=FALSE,Auswahl!L7=TRUE),"",SUM(Tabellen!AW8:AY8))</f>
        <v/>
      </c>
      <c r="G21" s="440"/>
      <c r="H21" s="444" t="str">
        <f>IF(OR(Auswahl!I7=FALSE,Auswahl!L7=TRUE),"",('4'!$G$44*INDEX(Tabelle_Energie,MATCH('4'!$D$44,Tabelle_Energietraeger,0),4)+'4'!$G$45*INDEX(Tabelle_Energie,MATCH('4'!$D$45,Tabelle_Energietraeger,0),4))/1000000*Basis_Betrachtungszeitraum)</f>
        <v/>
      </c>
      <c r="I21" s="444"/>
      <c r="J21" s="444"/>
      <c r="K21" s="161"/>
      <c r="L21" s="162"/>
      <c r="M21" s="162"/>
      <c r="N21" s="162"/>
      <c r="O21" s="162"/>
      <c r="P21" s="162"/>
      <c r="Q21" s="48"/>
      <c r="R21" s="178" t="str">
        <f t="shared" si="2"/>
        <v>ï</v>
      </c>
      <c r="S21" s="268" t="str">
        <f t="shared" si="0"/>
        <v>Bitte dieses Registerblatt vervollständigen.</v>
      </c>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x14ac:dyDescent="0.3">
      <c r="A22" s="22"/>
      <c r="B22" s="184" t="str">
        <f t="shared" si="1"/>
        <v>!</v>
      </c>
      <c r="C22" s="248" t="str">
        <f>Auswahl!$G$8&amp;" | "&amp;Auswahl!$H$8</f>
        <v>5 | Wärmepumpe (Wasser)</v>
      </c>
      <c r="D22" s="254">
        <f>IF(Auswahl!$I$8=TRUE,2,0)</f>
        <v>0</v>
      </c>
      <c r="E22" s="248"/>
      <c r="F22" s="440" t="str">
        <f>IF(OR(Auswahl!I8=FALSE,Auswahl!L8=TRUE),"",SUM(Tabellen!AW9:AY9))</f>
        <v/>
      </c>
      <c r="G22" s="440"/>
      <c r="H22" s="444" t="str">
        <f>IF(OR(Auswahl!I8=FALSE,Auswahl!L8=TRUE),"",('5'!$G$44*INDEX(Tabelle_Energie,MATCH('5'!$D$44,Tabelle_Energietraeger,0),4)+'5'!$G$45*INDEX(Tabelle_Energie,MATCH('5'!$D$45,Tabelle_Energietraeger,0),4))/1000000*Basis_Betrachtungszeitraum)</f>
        <v/>
      </c>
      <c r="I22" s="444"/>
      <c r="J22" s="444"/>
      <c r="K22" s="161"/>
      <c r="L22" s="162"/>
      <c r="M22" s="162"/>
      <c r="N22" s="162"/>
      <c r="O22" s="162"/>
      <c r="P22" s="162"/>
      <c r="Q22" s="48"/>
      <c r="R22" s="178" t="str">
        <f t="shared" si="2"/>
        <v>ï</v>
      </c>
      <c r="S22" s="268" t="str">
        <f t="shared" si="0"/>
        <v>Bitte dieses Registerblatt vervollständigen.</v>
      </c>
      <c r="T22" s="22"/>
      <c r="U22" s="22"/>
      <c r="V22" s="22"/>
      <c r="W22" s="22"/>
      <c r="X22" s="22"/>
      <c r="Y22" s="22"/>
      <c r="Z22" s="22"/>
      <c r="AA22" s="22"/>
      <c r="AB22" s="22"/>
      <c r="AC22" s="22"/>
      <c r="AD22" s="22"/>
      <c r="AE22" s="22"/>
      <c r="AF22" s="22"/>
      <c r="AG22" s="22"/>
      <c r="AH22" s="22"/>
      <c r="AI22" s="22"/>
      <c r="AJ22" s="22"/>
      <c r="AK22" s="22"/>
      <c r="AL22" s="22"/>
      <c r="AM22" s="22"/>
      <c r="AN22" s="22"/>
      <c r="AO22" s="22"/>
      <c r="AP22" s="22"/>
    </row>
    <row r="23" spans="1:42" x14ac:dyDescent="0.3">
      <c r="A23" s="22"/>
      <c r="B23" s="184" t="str">
        <f t="shared" si="1"/>
        <v>!</v>
      </c>
      <c r="C23" s="248" t="str">
        <f>Auswahl!$G$9&amp;" | "&amp;Auswahl!$H$9</f>
        <v>6 | Wärmepumpe (Sole)</v>
      </c>
      <c r="D23" s="254">
        <f>IF(Auswahl!$I$9=TRUE,2,0)</f>
        <v>0</v>
      </c>
      <c r="E23" s="248"/>
      <c r="F23" s="440" t="str">
        <f>IF(OR(Auswahl!I9=FALSE,Auswahl!L9=TRUE),"",SUM(Tabellen!AW10:AY10))</f>
        <v/>
      </c>
      <c r="G23" s="440"/>
      <c r="H23" s="444" t="str">
        <f>IF(OR(Auswahl!I9=FALSE,Auswahl!L9=TRUE),"",('6'!$G$44*INDEX(Tabelle_Energie,MATCH('6'!$D$44,Tabelle_Energietraeger,0),4)+'6'!$G$45*INDEX(Tabelle_Energie,MATCH('6'!$D$45,Tabelle_Energietraeger,0),4))/1000000*Basis_Betrachtungszeitraum)</f>
        <v/>
      </c>
      <c r="I23" s="444"/>
      <c r="J23" s="444"/>
      <c r="K23" s="161"/>
      <c r="L23" s="162"/>
      <c r="M23" s="162"/>
      <c r="N23" s="162"/>
      <c r="O23" s="162"/>
      <c r="P23" s="162"/>
      <c r="Q23" s="48"/>
      <c r="R23" s="178" t="str">
        <f t="shared" si="2"/>
        <v>ï</v>
      </c>
      <c r="S23" s="268" t="str">
        <f t="shared" si="0"/>
        <v>Bitte dieses Registerblatt vervollständigen.</v>
      </c>
      <c r="T23" s="22"/>
      <c r="U23" s="22"/>
      <c r="V23" s="22"/>
      <c r="W23" s="22"/>
      <c r="X23" s="22"/>
      <c r="Y23" s="22"/>
      <c r="Z23" s="22"/>
      <c r="AA23" s="22"/>
      <c r="AB23" s="22"/>
      <c r="AC23" s="22"/>
      <c r="AD23" s="22"/>
      <c r="AE23" s="22"/>
      <c r="AF23" s="22"/>
      <c r="AG23" s="22"/>
      <c r="AH23" s="22"/>
      <c r="AI23" s="22"/>
      <c r="AJ23" s="22"/>
      <c r="AK23" s="22"/>
      <c r="AL23" s="22"/>
      <c r="AM23" s="22"/>
      <c r="AN23" s="22"/>
      <c r="AO23" s="22"/>
      <c r="AP23" s="22"/>
    </row>
    <row r="24" spans="1:42" ht="7.5" customHeight="1" x14ac:dyDescent="0.3">
      <c r="A24" s="22"/>
      <c r="C24" s="48"/>
      <c r="D24" s="48"/>
      <c r="E24" s="48"/>
      <c r="F24" s="48"/>
      <c r="G24" s="48"/>
      <c r="H24" s="48"/>
      <c r="I24" s="48"/>
      <c r="J24" s="48"/>
      <c r="K24" s="160"/>
      <c r="L24" s="48"/>
      <c r="M24" s="48"/>
      <c r="N24" s="48"/>
      <c r="O24" s="48"/>
      <c r="P24" s="48"/>
      <c r="Q24" s="48"/>
      <c r="R24" s="29"/>
      <c r="S24" s="30"/>
      <c r="T24" s="22"/>
      <c r="U24" s="22"/>
      <c r="V24" s="22"/>
      <c r="W24" s="22"/>
      <c r="X24" s="22"/>
      <c r="Y24" s="22"/>
      <c r="Z24" s="22"/>
      <c r="AA24" s="22"/>
      <c r="AB24" s="22"/>
      <c r="AC24" s="22"/>
      <c r="AD24" s="22"/>
      <c r="AE24" s="22"/>
      <c r="AF24" s="22"/>
      <c r="AG24" s="22"/>
      <c r="AH24" s="22"/>
      <c r="AI24" s="22"/>
      <c r="AJ24" s="22"/>
      <c r="AK24" s="22"/>
      <c r="AL24" s="22"/>
      <c r="AM24" s="22"/>
      <c r="AN24" s="22"/>
      <c r="AO24" s="22"/>
      <c r="AP24" s="22"/>
    </row>
    <row r="25" spans="1:42" ht="39" customHeight="1" x14ac:dyDescent="0.3">
      <c r="A25" s="22"/>
      <c r="C25" s="453" t="str">
        <f>"¹ "&amp;TBS_7_1</f>
        <v xml:space="preserve">¹ Die CO2-Emissionen veranschaulichen den ökologischen Fußabdruck der Energieverbräuche über den Betrachtungszeitraum von 20 Jahren. Sie werden derzeit nicht mit Kosten berücksichtigt. </v>
      </c>
      <c r="D25" s="453"/>
      <c r="E25" s="453"/>
      <c r="F25" s="453"/>
      <c r="G25" s="453"/>
      <c r="H25" s="453"/>
      <c r="I25" s="453"/>
      <c r="J25" s="453"/>
      <c r="K25" s="453"/>
      <c r="L25" s="453"/>
      <c r="M25" s="453"/>
      <c r="N25" s="453"/>
      <c r="O25" s="453"/>
      <c r="P25" s="453"/>
      <c r="Q25" s="48"/>
      <c r="R25" s="29"/>
      <c r="S25" s="30"/>
      <c r="T25" s="22"/>
      <c r="U25" s="22"/>
      <c r="V25" s="22"/>
      <c r="W25" s="22"/>
      <c r="X25" s="22"/>
      <c r="Y25" s="22"/>
      <c r="Z25" s="22"/>
      <c r="AA25" s="22"/>
      <c r="AB25" s="22"/>
      <c r="AC25" s="22"/>
      <c r="AD25" s="22"/>
      <c r="AE25" s="22"/>
      <c r="AF25" s="22"/>
      <c r="AG25" s="22"/>
      <c r="AH25" s="22"/>
      <c r="AI25" s="22"/>
      <c r="AJ25" s="22"/>
      <c r="AK25" s="22"/>
      <c r="AL25" s="22"/>
      <c r="AM25" s="22"/>
      <c r="AN25" s="22"/>
      <c r="AO25" s="22"/>
      <c r="AP25" s="22"/>
    </row>
    <row r="26" spans="1:42" x14ac:dyDescent="0.3">
      <c r="A26" s="22"/>
      <c r="C26" s="48"/>
      <c r="D26" s="48"/>
      <c r="E26" s="48"/>
      <c r="F26" s="48"/>
      <c r="G26" s="48"/>
      <c r="H26" s="48"/>
      <c r="I26" s="48"/>
      <c r="J26" s="48"/>
      <c r="K26" s="160"/>
      <c r="L26" s="48"/>
      <c r="M26" s="48"/>
      <c r="N26" s="48"/>
      <c r="O26" s="48"/>
      <c r="P26" s="48"/>
      <c r="Q26" s="48"/>
      <c r="R26" s="29"/>
      <c r="S26" s="30"/>
      <c r="T26" s="22"/>
      <c r="U26" s="22"/>
      <c r="V26" s="22"/>
      <c r="W26" s="22"/>
      <c r="X26" s="22"/>
      <c r="Y26" s="22"/>
      <c r="Z26" s="22"/>
      <c r="AA26" s="22"/>
      <c r="AB26" s="22"/>
      <c r="AC26" s="22"/>
      <c r="AD26" s="22"/>
      <c r="AE26" s="22"/>
      <c r="AF26" s="22"/>
      <c r="AG26" s="22"/>
      <c r="AH26" s="22"/>
      <c r="AI26" s="22"/>
      <c r="AJ26" s="22"/>
      <c r="AK26" s="22"/>
      <c r="AL26" s="22"/>
      <c r="AM26" s="22"/>
      <c r="AN26" s="22"/>
      <c r="AO26" s="22"/>
      <c r="AP26" s="22"/>
    </row>
    <row r="27" spans="1:42" x14ac:dyDescent="0.3">
      <c r="A27" s="22"/>
      <c r="C27" s="47" t="str">
        <f>$A$2&amp;".2 "&amp;UPPER("Projektspezifische Rahmenbedingungen")</f>
        <v>7.2 PROJEKTSPEZIFISCHE RAHMENBEDINGUNGEN</v>
      </c>
      <c r="D27" s="48"/>
      <c r="E27" s="48"/>
      <c r="F27" s="48"/>
      <c r="G27" s="48"/>
      <c r="H27" s="48"/>
      <c r="I27" s="48"/>
      <c r="J27" s="48"/>
      <c r="K27" s="48"/>
      <c r="L27" s="48"/>
      <c r="M27" s="48"/>
      <c r="N27" s="48"/>
      <c r="O27" s="48"/>
      <c r="P27" s="48"/>
      <c r="Q27" s="48"/>
      <c r="R27" s="29"/>
      <c r="S27" s="30"/>
      <c r="T27" s="22"/>
      <c r="U27" s="22"/>
      <c r="V27" s="22"/>
      <c r="W27" s="22"/>
      <c r="X27" s="22"/>
      <c r="Y27" s="22"/>
      <c r="Z27" s="22"/>
      <c r="AA27" s="22"/>
      <c r="AB27" s="22"/>
      <c r="AC27" s="22"/>
      <c r="AD27" s="22"/>
      <c r="AE27" s="22"/>
      <c r="AF27" s="22"/>
      <c r="AG27" s="22"/>
      <c r="AH27" s="22"/>
      <c r="AI27" s="22"/>
      <c r="AJ27" s="22"/>
      <c r="AK27" s="22"/>
      <c r="AL27" s="22"/>
      <c r="AM27" s="22"/>
      <c r="AN27" s="22"/>
      <c r="AO27" s="22"/>
      <c r="AP27" s="22"/>
    </row>
    <row r="28" spans="1:42" ht="7.5" customHeight="1" x14ac:dyDescent="0.3">
      <c r="A28" s="22"/>
      <c r="C28" s="48"/>
      <c r="D28" s="48"/>
      <c r="E28" s="48"/>
      <c r="F28" s="48"/>
      <c r="G28" s="48"/>
      <c r="H28" s="48"/>
      <c r="I28" s="48"/>
      <c r="J28" s="48"/>
      <c r="K28" s="48"/>
      <c r="L28" s="48"/>
      <c r="M28" s="48"/>
      <c r="N28" s="48"/>
      <c r="O28" s="48"/>
      <c r="P28" s="48"/>
      <c r="Q28" s="48"/>
      <c r="R28" s="29"/>
      <c r="S28" s="30"/>
      <c r="T28" s="22"/>
      <c r="U28" s="22"/>
      <c r="V28" s="22"/>
      <c r="W28" s="22"/>
      <c r="X28" s="22"/>
      <c r="Y28" s="22"/>
      <c r="Z28" s="22"/>
      <c r="AA28" s="22"/>
      <c r="AB28" s="22"/>
      <c r="AC28" s="22"/>
      <c r="AD28" s="22"/>
      <c r="AE28" s="22"/>
      <c r="AF28" s="22"/>
      <c r="AG28" s="22"/>
      <c r="AH28" s="22"/>
      <c r="AI28" s="22"/>
      <c r="AJ28" s="22"/>
      <c r="AK28" s="22"/>
      <c r="AL28" s="22"/>
      <c r="AM28" s="22"/>
      <c r="AN28" s="22"/>
      <c r="AO28" s="22"/>
      <c r="AP28" s="22"/>
    </row>
    <row r="29" spans="1:42" x14ac:dyDescent="0.3">
      <c r="A29" s="22"/>
      <c r="C29" s="246" t="str">
        <f>$A$2&amp;".2"&amp;".1 "&amp;UPPER("Energiekennzahlen")</f>
        <v>7.2.1 ENERGIEKENNZAHLEN</v>
      </c>
      <c r="D29" s="48"/>
      <c r="E29" s="48"/>
      <c r="F29" s="48"/>
      <c r="G29" s="48"/>
      <c r="H29" s="48"/>
      <c r="I29" s="48"/>
      <c r="J29" s="48"/>
      <c r="K29" s="48"/>
      <c r="L29" s="48"/>
      <c r="M29" s="48"/>
      <c r="N29" s="48"/>
      <c r="O29" s="48"/>
      <c r="P29" s="48"/>
      <c r="Q29" s="48"/>
      <c r="R29" s="29"/>
      <c r="S29" s="30"/>
      <c r="T29" s="22"/>
      <c r="U29" s="22"/>
      <c r="V29" s="22"/>
      <c r="W29" s="22"/>
      <c r="X29" s="22"/>
      <c r="Y29" s="22"/>
      <c r="Z29" s="22"/>
      <c r="AA29" s="22"/>
      <c r="AB29" s="22"/>
      <c r="AC29" s="22"/>
      <c r="AD29" s="22"/>
      <c r="AE29" s="22"/>
      <c r="AF29" s="22"/>
      <c r="AG29" s="22"/>
      <c r="AH29" s="22"/>
      <c r="AI29" s="22"/>
      <c r="AJ29" s="22"/>
      <c r="AK29" s="22"/>
      <c r="AL29" s="22"/>
      <c r="AM29" s="22"/>
      <c r="AN29" s="22"/>
      <c r="AO29" s="22"/>
      <c r="AP29" s="22"/>
    </row>
    <row r="30" spans="1:42" ht="34.5" customHeight="1" x14ac:dyDescent="0.3">
      <c r="A30" s="22"/>
      <c r="C30" s="393" t="str">
        <f>TBS_7_2</f>
        <v>Bei Nicht-Wohngebäuden kann eine vom Energieausweis abweichende Berechnung sinnvoll sein - Sie können den Heizwärmebedarf und/oder den Warmwasserwärmebedarf anpassen. Die Berechnung muss begelegt werden.</v>
      </c>
      <c r="D30" s="393"/>
      <c r="E30" s="393"/>
      <c r="F30" s="393"/>
      <c r="G30" s="393"/>
      <c r="H30" s="393"/>
      <c r="I30" s="393"/>
      <c r="J30" s="393"/>
      <c r="K30" s="393"/>
      <c r="L30" s="393"/>
      <c r="M30" s="393"/>
      <c r="N30" s="393"/>
      <c r="O30" s="393"/>
      <c r="P30" s="393"/>
      <c r="Q30" s="48"/>
      <c r="R30" s="29"/>
      <c r="S30" s="30"/>
      <c r="T30" s="22"/>
      <c r="U30" s="22"/>
      <c r="V30" s="22"/>
      <c r="W30" s="22"/>
      <c r="X30" s="22"/>
      <c r="Y30" s="22"/>
      <c r="Z30" s="22"/>
      <c r="AA30" s="22"/>
      <c r="AB30" s="22"/>
      <c r="AC30" s="22"/>
      <c r="AD30" s="22"/>
      <c r="AE30" s="22"/>
      <c r="AF30" s="22"/>
      <c r="AG30" s="22"/>
      <c r="AH30" s="22"/>
      <c r="AI30" s="22"/>
      <c r="AJ30" s="22"/>
      <c r="AK30" s="22"/>
      <c r="AL30" s="22"/>
      <c r="AM30" s="22"/>
      <c r="AN30" s="22"/>
      <c r="AO30" s="22"/>
      <c r="AP30" s="22"/>
    </row>
    <row r="31" spans="1:42" x14ac:dyDescent="0.3">
      <c r="A31" s="22"/>
      <c r="C31" s="439" t="s">
        <v>48</v>
      </c>
      <c r="D31" s="439"/>
      <c r="E31" s="439"/>
      <c r="F31" s="301"/>
      <c r="G31" s="301"/>
      <c r="H31" s="434"/>
      <c r="I31" s="434"/>
      <c r="J31" s="434"/>
      <c r="K31" s="434"/>
      <c r="L31" s="434" t="s">
        <v>20</v>
      </c>
      <c r="M31" s="434"/>
      <c r="N31" s="438" t="str">
        <f>IF(EA_WG=TRUE,"","Freie Eingabe")</f>
        <v>Freie Eingabe</v>
      </c>
      <c r="O31" s="438"/>
      <c r="P31" s="438"/>
      <c r="Q31" s="48"/>
      <c r="R31" s="29"/>
      <c r="S31" s="30"/>
      <c r="T31" s="22"/>
      <c r="U31" s="22"/>
      <c r="V31" s="22"/>
      <c r="W31" s="22"/>
      <c r="X31" s="22"/>
      <c r="Y31" s="22"/>
      <c r="Z31" s="22"/>
      <c r="AA31" s="22"/>
      <c r="AB31" s="22"/>
      <c r="AC31" s="22"/>
      <c r="AD31" s="22"/>
      <c r="AE31" s="22"/>
      <c r="AF31" s="22"/>
      <c r="AG31" s="22"/>
      <c r="AH31" s="22"/>
      <c r="AI31" s="22"/>
      <c r="AJ31" s="22"/>
      <c r="AK31" s="22"/>
      <c r="AL31" s="22"/>
      <c r="AM31" s="22"/>
      <c r="AN31" s="22"/>
      <c r="AO31" s="22"/>
      <c r="AP31" s="22"/>
    </row>
    <row r="32" spans="1:42" x14ac:dyDescent="0.3">
      <c r="A32" s="22"/>
      <c r="B32" s="184" t="str">
        <f>IF(R32="","","!")</f>
        <v/>
      </c>
      <c r="C32" s="420" t="s">
        <v>239</v>
      </c>
      <c r="D32" s="420"/>
      <c r="E32" s="420"/>
      <c r="F32" s="420"/>
      <c r="G32" s="420"/>
      <c r="H32" s="428"/>
      <c r="I32" s="428"/>
      <c r="J32" s="428"/>
      <c r="K32" s="428"/>
      <c r="L32" s="418">
        <f>EA_QhSK</f>
        <v>0</v>
      </c>
      <c r="M32" s="418"/>
      <c r="N32" s="459"/>
      <c r="O32" s="459"/>
      <c r="P32" s="459"/>
      <c r="Q32" s="48"/>
      <c r="R32" s="178" t="str">
        <f>IF(S32="","","ï")</f>
        <v/>
      </c>
      <c r="S32" s="265" t="str">
        <f>IF(AND(EA_WG=TRUE,N32&lt;&gt;""),TBS_Fehler_3,"")</f>
        <v/>
      </c>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2" x14ac:dyDescent="0.3">
      <c r="A33" s="22"/>
      <c r="B33" s="184" t="str">
        <f>IF(R33="","","!")</f>
        <v/>
      </c>
      <c r="C33" s="414" t="s">
        <v>240</v>
      </c>
      <c r="D33" s="414"/>
      <c r="E33" s="414"/>
      <c r="F33" s="414"/>
      <c r="G33" s="414"/>
      <c r="H33" s="448"/>
      <c r="I33" s="448"/>
      <c r="J33" s="448"/>
      <c r="K33" s="448"/>
      <c r="L33" s="447">
        <f>INDEX(Tabellen!$E$4:$H$17,EA_Kategorie_Select,4)*EA_BGF</f>
        <v>0</v>
      </c>
      <c r="M33" s="447"/>
      <c r="N33" s="459"/>
      <c r="O33" s="459"/>
      <c r="P33" s="459"/>
      <c r="Q33" s="48"/>
      <c r="R33" s="178" t="str">
        <f>IF(S33="","","ï")</f>
        <v/>
      </c>
      <c r="S33" s="265" t="str">
        <f>IF(AND(EA_WG=TRUE,N33&lt;&gt;""),TBS_Fehler_3,"")</f>
        <v/>
      </c>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2" x14ac:dyDescent="0.3">
      <c r="A34" s="22"/>
      <c r="C34" s="48"/>
      <c r="D34" s="48"/>
      <c r="E34" s="48"/>
      <c r="F34" s="48"/>
      <c r="G34" s="48"/>
      <c r="H34" s="48"/>
      <c r="I34" s="48"/>
      <c r="J34" s="48"/>
      <c r="K34" s="48"/>
      <c r="L34" s="48"/>
      <c r="M34" s="48"/>
      <c r="N34" s="51"/>
      <c r="O34" s="51"/>
      <c r="P34" s="49"/>
      <c r="Q34" s="50"/>
      <c r="R34" s="24"/>
      <c r="S34" s="30"/>
      <c r="T34" s="22"/>
      <c r="U34" s="22"/>
      <c r="V34" s="22"/>
      <c r="W34" s="22"/>
      <c r="X34" s="22"/>
      <c r="Y34" s="22"/>
      <c r="Z34" s="22"/>
      <c r="AA34" s="22"/>
      <c r="AB34" s="22"/>
      <c r="AC34" s="22"/>
      <c r="AD34" s="22"/>
      <c r="AE34" s="22"/>
      <c r="AF34" s="22"/>
      <c r="AG34" s="22"/>
      <c r="AH34" s="22"/>
      <c r="AI34" s="22"/>
      <c r="AJ34" s="22"/>
      <c r="AK34" s="22"/>
      <c r="AL34" s="22"/>
      <c r="AM34" s="22"/>
      <c r="AN34" s="22"/>
      <c r="AO34" s="22"/>
      <c r="AP34" s="22"/>
    </row>
    <row r="35" spans="1:42" x14ac:dyDescent="0.3">
      <c r="A35" s="22"/>
      <c r="C35" s="246" t="str">
        <f>$A$2&amp;".2"&amp;".2 "&amp;UPPER("Energieaufwandszahlen")</f>
        <v>7.2.2 ENERGIEAUFWANDSZAHLEN</v>
      </c>
      <c r="D35" s="47"/>
      <c r="E35" s="48"/>
      <c r="F35" s="48"/>
      <c r="G35" s="48"/>
      <c r="H35" s="48"/>
      <c r="I35" s="48"/>
      <c r="J35" s="48"/>
      <c r="K35" s="48"/>
      <c r="L35" s="48"/>
      <c r="M35" s="48"/>
      <c r="N35" s="48"/>
      <c r="O35" s="48"/>
      <c r="P35" s="48"/>
      <c r="Q35" s="48"/>
      <c r="R35" s="29"/>
      <c r="S35" s="30"/>
      <c r="T35" s="22"/>
      <c r="U35" s="22"/>
      <c r="V35" s="22"/>
      <c r="W35" s="22"/>
      <c r="X35" s="22"/>
      <c r="Y35" s="22"/>
      <c r="Z35" s="22"/>
      <c r="AA35" s="22"/>
      <c r="AB35" s="22"/>
      <c r="AC35" s="22"/>
      <c r="AD35" s="22"/>
      <c r="AE35" s="22"/>
      <c r="AF35" s="22"/>
      <c r="AG35" s="22"/>
      <c r="AH35" s="22"/>
      <c r="AI35" s="22"/>
      <c r="AJ35" s="22"/>
      <c r="AK35" s="22"/>
      <c r="AL35" s="22"/>
      <c r="AM35" s="22"/>
      <c r="AN35" s="22"/>
      <c r="AO35" s="22"/>
      <c r="AP35" s="22"/>
    </row>
    <row r="36" spans="1:42" ht="42" customHeight="1" x14ac:dyDescent="0.3">
      <c r="A36" s="22"/>
      <c r="C36" s="393" t="str">
        <f>TBS_7_5</f>
        <v>Die Energieaufwandszahlen müssen modifiziert werden - wird allerdings eine verändert, müssen alle angepasst werden; dies kann z.B. durch Berechnung mehrerer Energieausweise mit allen gelisteten Systemen erfolgen.</v>
      </c>
      <c r="D36" s="393"/>
      <c r="E36" s="393"/>
      <c r="F36" s="393"/>
      <c r="G36" s="393"/>
      <c r="H36" s="393"/>
      <c r="I36" s="393"/>
      <c r="J36" s="393"/>
      <c r="K36" s="393"/>
      <c r="L36" s="393"/>
      <c r="M36" s="393"/>
      <c r="N36" s="393"/>
      <c r="O36" s="393"/>
      <c r="P36" s="393"/>
      <c r="Q36" s="48"/>
      <c r="R36" s="29"/>
      <c r="S36" s="30"/>
      <c r="T36" s="22"/>
      <c r="U36" s="22"/>
      <c r="V36" s="22"/>
      <c r="W36" s="22"/>
      <c r="X36" s="22"/>
      <c r="Y36" s="22"/>
      <c r="Z36" s="22"/>
      <c r="AA36" s="22"/>
      <c r="AB36" s="22"/>
      <c r="AC36" s="22"/>
      <c r="AD36" s="22"/>
      <c r="AE36" s="22"/>
      <c r="AF36" s="22"/>
      <c r="AG36" s="22"/>
      <c r="AH36" s="22"/>
      <c r="AI36" s="22"/>
      <c r="AJ36" s="22"/>
      <c r="AK36" s="22"/>
      <c r="AL36" s="22"/>
      <c r="AM36" s="22"/>
      <c r="AN36" s="22"/>
      <c r="AO36" s="22"/>
      <c r="AP36" s="22"/>
    </row>
    <row r="37" spans="1:42" x14ac:dyDescent="0.3">
      <c r="A37" s="22"/>
      <c r="C37" s="48"/>
      <c r="D37" s="48"/>
      <c r="E37" s="48"/>
      <c r="F37" s="438" t="s">
        <v>138</v>
      </c>
      <c r="G37" s="438"/>
      <c r="H37" s="438"/>
      <c r="I37" s="438"/>
      <c r="J37" s="438"/>
      <c r="K37" s="438"/>
      <c r="L37" s="438" t="s">
        <v>139</v>
      </c>
      <c r="M37" s="438"/>
      <c r="N37" s="438"/>
      <c r="O37" s="438"/>
      <c r="P37" s="438"/>
      <c r="Q37" s="48"/>
      <c r="R37" s="29"/>
      <c r="S37" s="265"/>
      <c r="T37" s="22"/>
      <c r="U37" s="22"/>
      <c r="V37" s="22"/>
      <c r="W37" s="22"/>
      <c r="X37" s="22"/>
      <c r="Y37" s="22"/>
      <c r="Z37" s="22"/>
      <c r="AA37" s="22"/>
      <c r="AB37" s="22"/>
      <c r="AC37" s="22"/>
      <c r="AD37" s="22"/>
      <c r="AE37" s="22"/>
      <c r="AF37" s="22"/>
      <c r="AG37" s="22"/>
      <c r="AH37" s="22"/>
      <c r="AI37" s="22"/>
      <c r="AJ37" s="22"/>
      <c r="AK37" s="22"/>
      <c r="AL37" s="22"/>
      <c r="AM37" s="22"/>
      <c r="AN37" s="22"/>
      <c r="AO37" s="22"/>
      <c r="AP37" s="22"/>
    </row>
    <row r="38" spans="1:42" x14ac:dyDescent="0.3">
      <c r="A38" s="22"/>
      <c r="C38" s="439" t="s">
        <v>48</v>
      </c>
      <c r="D38" s="439"/>
      <c r="E38" s="439"/>
      <c r="F38" s="434" t="s">
        <v>20</v>
      </c>
      <c r="G38" s="434"/>
      <c r="H38" s="434" t="s">
        <v>47</v>
      </c>
      <c r="I38" s="434"/>
      <c r="J38" s="434"/>
      <c r="K38" s="434"/>
      <c r="L38" s="434" t="s">
        <v>20</v>
      </c>
      <c r="M38" s="434"/>
      <c r="N38" s="434" t="s">
        <v>47</v>
      </c>
      <c r="O38" s="434"/>
      <c r="P38" s="434"/>
      <c r="Q38" s="48"/>
      <c r="R38" s="29"/>
      <c r="S38" s="30"/>
      <c r="T38" s="22"/>
      <c r="U38" s="22"/>
      <c r="V38" s="22"/>
      <c r="W38" s="22"/>
      <c r="X38" s="22"/>
      <c r="Y38" s="22"/>
      <c r="Z38" s="22"/>
      <c r="AA38" s="22"/>
      <c r="AB38" s="22"/>
      <c r="AC38" s="22"/>
      <c r="AD38" s="22"/>
      <c r="AE38" s="22"/>
      <c r="AF38" s="22"/>
      <c r="AG38" s="22"/>
      <c r="AH38" s="22"/>
      <c r="AI38" s="22"/>
      <c r="AJ38" s="22"/>
      <c r="AK38" s="22"/>
      <c r="AL38" s="22"/>
      <c r="AM38" s="22"/>
      <c r="AN38" s="22"/>
      <c r="AO38" s="22"/>
      <c r="AP38" s="22"/>
    </row>
    <row r="39" spans="1:42" x14ac:dyDescent="0.3">
      <c r="A39" s="22"/>
      <c r="B39" s="184"/>
      <c r="C39" s="420" t="str">
        <f>Auswahl!$G$4&amp;" | "&amp;Auswahl!$H$4&amp;"²"</f>
        <v>1 | Bitte wählen…²</v>
      </c>
      <c r="D39" s="420"/>
      <c r="E39" s="420"/>
      <c r="F39" s="430">
        <f>EA_EAWZ_RH</f>
        <v>0</v>
      </c>
      <c r="G39" s="430"/>
      <c r="H39" s="431"/>
      <c r="I39" s="431"/>
      <c r="J39" s="431"/>
      <c r="K39" s="431"/>
      <c r="L39" s="432">
        <f>EA_EAWZ_WW</f>
        <v>0</v>
      </c>
      <c r="M39" s="432"/>
      <c r="N39" s="431"/>
      <c r="O39" s="431"/>
      <c r="P39" s="431"/>
      <c r="Q39" s="48"/>
      <c r="R39" s="178"/>
      <c r="S39" s="265"/>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2" x14ac:dyDescent="0.3">
      <c r="A40" s="22"/>
      <c r="B40" s="184" t="str">
        <f t="shared" ref="B40:B44" si="3">IF(R40="","","!")</f>
        <v>!</v>
      </c>
      <c r="C40" s="414" t="str">
        <f>Auswahl!$G$5&amp;" | "&amp;Auswahl!$H$5</f>
        <v>2 | Pelletsanlage</v>
      </c>
      <c r="D40" s="414"/>
      <c r="E40" s="414"/>
      <c r="F40" s="429" t="str">
        <f>VLOOKUP(Auswahl!$H5,Tabelle_EAWZ_RH,8,FALSE)</f>
        <v>---</v>
      </c>
      <c r="G40" s="429"/>
      <c r="H40" s="437"/>
      <c r="I40" s="437"/>
      <c r="J40" s="437"/>
      <c r="K40" s="437"/>
      <c r="L40" s="429" t="str">
        <f>VLOOKUP(Auswahl!$H5,Tabelle_EAWZ_WW,8,FALSE)</f>
        <v>---</v>
      </c>
      <c r="M40" s="429"/>
      <c r="N40" s="437"/>
      <c r="O40" s="437"/>
      <c r="P40" s="437"/>
      <c r="Q40" s="48"/>
      <c r="R40" s="178" t="str">
        <f t="shared" ref="R40:R44" si="4">IF(S40="","","ï")</f>
        <v>ï</v>
      </c>
      <c r="S40" s="265" t="str">
        <f>IF(AND(Basis_mod_eAWZ=TRUE,OR(H40="",N40="")),TBS_Fehler_2,"")</f>
        <v>Bitte dieses Feld (roter Bereich = Pflichtfeld) ausfüllen!</v>
      </c>
      <c r="T40" s="22"/>
      <c r="U40" s="22"/>
      <c r="V40" s="22"/>
      <c r="W40" s="22"/>
      <c r="X40" s="22"/>
      <c r="Y40" s="22"/>
      <c r="Z40" s="22"/>
      <c r="AA40" s="22"/>
      <c r="AB40" s="22"/>
      <c r="AC40" s="22"/>
      <c r="AD40" s="22"/>
      <c r="AE40" s="22"/>
      <c r="AF40" s="22"/>
      <c r="AG40" s="22"/>
      <c r="AH40" s="22"/>
      <c r="AI40" s="22"/>
      <c r="AJ40" s="22"/>
      <c r="AK40" s="22"/>
      <c r="AL40" s="22"/>
      <c r="AM40" s="22"/>
      <c r="AN40" s="22"/>
      <c r="AO40" s="22"/>
      <c r="AP40" s="22"/>
    </row>
    <row r="41" spans="1:42" x14ac:dyDescent="0.3">
      <c r="A41" s="22"/>
      <c r="B41" s="184" t="str">
        <f t="shared" si="3"/>
        <v>!</v>
      </c>
      <c r="C41" s="414" t="str">
        <f>Auswahl!$G$6&amp;" | "&amp;Auswahl!$H$6</f>
        <v>3 | Nah- /Fernwärme (ern.)</v>
      </c>
      <c r="D41" s="414"/>
      <c r="E41" s="414"/>
      <c r="F41" s="429" t="str">
        <f>VLOOKUP(Auswahl!$H6,Tabelle_EAWZ_RH,8,FALSE)</f>
        <v>---</v>
      </c>
      <c r="G41" s="429"/>
      <c r="H41" s="437"/>
      <c r="I41" s="437"/>
      <c r="J41" s="437"/>
      <c r="K41" s="437"/>
      <c r="L41" s="429" t="str">
        <f>VLOOKUP(Auswahl!$H6,Tabelle_EAWZ_WW,8,FALSE)</f>
        <v>---</v>
      </c>
      <c r="M41" s="429"/>
      <c r="N41" s="437"/>
      <c r="O41" s="437"/>
      <c r="P41" s="437"/>
      <c r="Q41" s="48"/>
      <c r="R41" s="178" t="str">
        <f t="shared" si="4"/>
        <v>ï</v>
      </c>
      <c r="S41" s="265" t="str">
        <f>IF(AND(Basis_mod_eAWZ=TRUE,OR(H41="",N41="")),TBS_Fehler_2,"")</f>
        <v>Bitte dieses Feld (roter Bereich = Pflichtfeld) ausfüllen!</v>
      </c>
      <c r="T41" s="22"/>
      <c r="U41" s="22"/>
      <c r="V41" s="22"/>
      <c r="W41" s="22"/>
      <c r="X41" s="22"/>
      <c r="Y41" s="22"/>
      <c r="Z41" s="22"/>
      <c r="AA41" s="22"/>
      <c r="AB41" s="22"/>
      <c r="AC41" s="22"/>
      <c r="AD41" s="22"/>
      <c r="AE41" s="22"/>
      <c r="AF41" s="22"/>
      <c r="AG41" s="22"/>
      <c r="AH41" s="22"/>
      <c r="AI41" s="22"/>
      <c r="AJ41" s="22"/>
      <c r="AK41" s="22"/>
      <c r="AL41" s="22"/>
      <c r="AM41" s="22"/>
      <c r="AN41" s="22"/>
      <c r="AO41" s="22"/>
      <c r="AP41" s="22"/>
    </row>
    <row r="42" spans="1:42" x14ac:dyDescent="0.3">
      <c r="A42" s="22"/>
      <c r="B42" s="184" t="str">
        <f t="shared" si="3"/>
        <v>!</v>
      </c>
      <c r="C42" s="414" t="str">
        <f>Auswahl!$G$7&amp;" | "&amp;Auswahl!$H$7</f>
        <v>4 | Wärmepumpe (Luft)</v>
      </c>
      <c r="D42" s="414"/>
      <c r="E42" s="414"/>
      <c r="F42" s="429" t="str">
        <f>VLOOKUP(Auswahl!$H7,Tabelle_EAWZ_RH,8,FALSE)</f>
        <v>---</v>
      </c>
      <c r="G42" s="429"/>
      <c r="H42" s="437"/>
      <c r="I42" s="437"/>
      <c r="J42" s="437"/>
      <c r="K42" s="437"/>
      <c r="L42" s="429" t="str">
        <f>VLOOKUP(Auswahl!$H7,Tabelle_EAWZ_WW,8,FALSE)</f>
        <v>---</v>
      </c>
      <c r="M42" s="429"/>
      <c r="N42" s="437"/>
      <c r="O42" s="437"/>
      <c r="P42" s="437"/>
      <c r="Q42" s="48"/>
      <c r="R42" s="178" t="str">
        <f t="shared" si="4"/>
        <v>ï</v>
      </c>
      <c r="S42" s="265" t="str">
        <f>IF(AND(Basis_mod_eAWZ=TRUE,OR(H42="",N42="")),TBS_Fehler_2,"")</f>
        <v>Bitte dieses Feld (roter Bereich = Pflichtfeld) ausfüllen!</v>
      </c>
      <c r="T42" s="22"/>
      <c r="U42" s="22"/>
      <c r="V42" s="22"/>
      <c r="W42" s="22"/>
      <c r="X42" s="22"/>
      <c r="Y42" s="22"/>
      <c r="Z42" s="22"/>
      <c r="AA42" s="22"/>
      <c r="AB42" s="22"/>
      <c r="AC42" s="22"/>
      <c r="AD42" s="22"/>
      <c r="AE42" s="22"/>
      <c r="AF42" s="22"/>
      <c r="AG42" s="22"/>
      <c r="AH42" s="22"/>
      <c r="AI42" s="22"/>
      <c r="AJ42" s="22"/>
      <c r="AK42" s="22"/>
      <c r="AL42" s="22"/>
      <c r="AM42" s="22"/>
      <c r="AN42" s="22"/>
      <c r="AO42" s="22"/>
      <c r="AP42" s="22"/>
    </row>
    <row r="43" spans="1:42" x14ac:dyDescent="0.3">
      <c r="A43" s="22"/>
      <c r="B43" s="184" t="str">
        <f t="shared" si="3"/>
        <v>!</v>
      </c>
      <c r="C43" s="414" t="str">
        <f>Auswahl!$G$8&amp;" | "&amp;Auswahl!$H$8</f>
        <v>5 | Wärmepumpe (Wasser)</v>
      </c>
      <c r="D43" s="414"/>
      <c r="E43" s="414"/>
      <c r="F43" s="429" t="str">
        <f>VLOOKUP(Auswahl!$H8,Tabelle_EAWZ_RH,8,FALSE)</f>
        <v>---</v>
      </c>
      <c r="G43" s="429"/>
      <c r="H43" s="437"/>
      <c r="I43" s="437"/>
      <c r="J43" s="437"/>
      <c r="K43" s="437"/>
      <c r="L43" s="429" t="str">
        <f>VLOOKUP(Auswahl!$H8,Tabelle_EAWZ_WW,8,FALSE)</f>
        <v>---</v>
      </c>
      <c r="M43" s="429"/>
      <c r="N43" s="437"/>
      <c r="O43" s="437"/>
      <c r="P43" s="437"/>
      <c r="Q43" s="48"/>
      <c r="R43" s="178" t="str">
        <f t="shared" si="4"/>
        <v>ï</v>
      </c>
      <c r="S43" s="265" t="str">
        <f>IF(AND(Basis_mod_eAWZ=TRUE,OR(H43="",N43="")),TBS_Fehler_2,"")</f>
        <v>Bitte dieses Feld (roter Bereich = Pflichtfeld) ausfüllen!</v>
      </c>
      <c r="T43" s="22"/>
      <c r="U43" s="22"/>
      <c r="V43" s="22"/>
      <c r="W43" s="22"/>
      <c r="X43" s="22"/>
      <c r="Y43" s="22"/>
      <c r="Z43" s="22"/>
      <c r="AA43" s="22"/>
      <c r="AB43" s="22"/>
      <c r="AC43" s="22"/>
      <c r="AD43" s="22"/>
      <c r="AE43" s="22"/>
      <c r="AF43" s="22"/>
      <c r="AG43" s="22"/>
      <c r="AH43" s="22"/>
      <c r="AI43" s="22"/>
      <c r="AJ43" s="22"/>
      <c r="AK43" s="22"/>
      <c r="AL43" s="22"/>
      <c r="AM43" s="22"/>
      <c r="AN43" s="22"/>
      <c r="AO43" s="22"/>
      <c r="AP43" s="22"/>
    </row>
    <row r="44" spans="1:42" x14ac:dyDescent="0.3">
      <c r="A44" s="22"/>
      <c r="B44" s="184" t="str">
        <f t="shared" si="3"/>
        <v>!</v>
      </c>
      <c r="C44" s="414" t="str">
        <f>Auswahl!$G$9&amp;" | "&amp;Auswahl!$H$9</f>
        <v>6 | Wärmepumpe (Sole)</v>
      </c>
      <c r="D44" s="414"/>
      <c r="E44" s="414"/>
      <c r="F44" s="429" t="str">
        <f>VLOOKUP(Auswahl!$H9,Tabelle_EAWZ_RH,8,FALSE)</f>
        <v>---</v>
      </c>
      <c r="G44" s="429"/>
      <c r="H44" s="437"/>
      <c r="I44" s="437"/>
      <c r="J44" s="437"/>
      <c r="K44" s="437"/>
      <c r="L44" s="429" t="str">
        <f>VLOOKUP(Auswahl!$H9,Tabelle_EAWZ_WW,8,FALSE)</f>
        <v>---</v>
      </c>
      <c r="M44" s="429"/>
      <c r="N44" s="437"/>
      <c r="O44" s="437"/>
      <c r="P44" s="437"/>
      <c r="Q44" s="48"/>
      <c r="R44" s="178" t="str">
        <f t="shared" si="4"/>
        <v>ï</v>
      </c>
      <c r="S44" s="265" t="str">
        <f>IF(AND(Basis_mod_eAWZ=TRUE,OR(H44="",N44="")),TBS_Fehler_2,"")</f>
        <v>Bitte dieses Feld (roter Bereich = Pflichtfeld) ausfüllen!</v>
      </c>
      <c r="T44" s="22"/>
      <c r="U44" s="22"/>
      <c r="V44" s="22"/>
      <c r="W44" s="22"/>
      <c r="X44" s="22"/>
      <c r="Y44" s="22"/>
      <c r="Z44" s="22"/>
      <c r="AA44" s="22"/>
      <c r="AB44" s="22"/>
      <c r="AC44" s="22"/>
      <c r="AD44" s="22"/>
      <c r="AE44" s="22"/>
      <c r="AF44" s="22"/>
      <c r="AG44" s="22"/>
      <c r="AH44" s="22"/>
      <c r="AI44" s="22"/>
      <c r="AJ44" s="22"/>
      <c r="AK44" s="22"/>
      <c r="AL44" s="22"/>
      <c r="AM44" s="22"/>
      <c r="AN44" s="22"/>
      <c r="AO44" s="22"/>
      <c r="AP44" s="22"/>
    </row>
    <row r="45" spans="1:42" x14ac:dyDescent="0.3">
      <c r="A45" s="22"/>
      <c r="C45" s="62" t="s">
        <v>331</v>
      </c>
      <c r="D45" s="51"/>
      <c r="E45" s="51"/>
      <c r="F45" s="51"/>
      <c r="G45" s="51"/>
      <c r="H45" s="51"/>
      <c r="I45" s="51"/>
      <c r="J45" s="51"/>
      <c r="K45" s="51"/>
      <c r="L45" s="51"/>
      <c r="M45" s="51"/>
      <c r="N45" s="51"/>
      <c r="O45" s="51"/>
      <c r="P45" s="51"/>
      <c r="Q45" s="48"/>
      <c r="R45" s="29"/>
      <c r="S45" s="30"/>
      <c r="T45" s="22"/>
      <c r="U45" s="22"/>
      <c r="V45" s="22"/>
      <c r="W45" s="22"/>
      <c r="X45" s="22"/>
      <c r="Y45" s="22"/>
      <c r="Z45" s="22"/>
      <c r="AA45" s="22"/>
      <c r="AB45" s="22"/>
      <c r="AC45" s="22"/>
      <c r="AD45" s="22"/>
      <c r="AE45" s="22"/>
      <c r="AF45" s="22"/>
      <c r="AG45" s="22"/>
      <c r="AH45" s="22"/>
      <c r="AI45" s="22"/>
      <c r="AJ45" s="22"/>
      <c r="AK45" s="22"/>
      <c r="AL45" s="22"/>
      <c r="AM45" s="22"/>
      <c r="AN45" s="22"/>
      <c r="AO45" s="22"/>
      <c r="AP45" s="22"/>
    </row>
    <row r="46" spans="1:42" x14ac:dyDescent="0.3">
      <c r="A46" s="22"/>
      <c r="C46" s="48"/>
      <c r="D46" s="48"/>
      <c r="E46" s="48"/>
      <c r="F46" s="48"/>
      <c r="G46" s="48"/>
      <c r="H46" s="48"/>
      <c r="I46" s="48"/>
      <c r="J46" s="48"/>
      <c r="K46" s="48"/>
      <c r="L46" s="48"/>
      <c r="M46" s="48"/>
      <c r="N46" s="48"/>
      <c r="O46" s="48"/>
      <c r="P46" s="49"/>
      <c r="Q46" s="50"/>
      <c r="R46" s="24"/>
      <c r="S46" s="30"/>
      <c r="T46" s="22"/>
      <c r="U46" s="22"/>
      <c r="V46" s="22"/>
      <c r="W46" s="22"/>
      <c r="X46" s="22"/>
      <c r="Y46" s="22"/>
      <c r="Z46" s="22"/>
      <c r="AA46" s="22"/>
      <c r="AB46" s="22"/>
      <c r="AC46" s="22"/>
      <c r="AD46" s="22"/>
      <c r="AE46" s="22"/>
      <c r="AF46" s="22"/>
      <c r="AG46" s="22"/>
      <c r="AH46" s="22"/>
      <c r="AI46" s="22"/>
      <c r="AJ46" s="22"/>
      <c r="AK46" s="22"/>
      <c r="AL46" s="22"/>
      <c r="AM46" s="22"/>
      <c r="AN46" s="22"/>
      <c r="AO46" s="22"/>
      <c r="AP46" s="22"/>
    </row>
    <row r="47" spans="1:42" x14ac:dyDescent="0.3">
      <c r="A47" s="22"/>
      <c r="C47" s="246" t="str">
        <f>$A$2&amp;".2"&amp;".3 "&amp;UPPER("Energieträger")</f>
        <v>7.2.3 ENERGIETRÄGER</v>
      </c>
      <c r="D47" s="47"/>
      <c r="E47" s="48"/>
      <c r="F47" s="48"/>
      <c r="G47" s="48"/>
      <c r="H47" s="48"/>
      <c r="I47" s="48"/>
      <c r="J47" s="48"/>
      <c r="K47" s="48"/>
      <c r="L47" s="48"/>
      <c r="M47" s="48"/>
      <c r="N47" s="48"/>
      <c r="O47" s="48"/>
      <c r="P47" s="48"/>
      <c r="Q47" s="48"/>
      <c r="R47" s="29"/>
      <c r="S47" s="30"/>
      <c r="T47" s="22"/>
      <c r="U47" s="22"/>
      <c r="V47" s="22"/>
      <c r="W47" s="22"/>
      <c r="X47" s="22"/>
      <c r="Y47" s="22"/>
      <c r="Z47" s="22"/>
      <c r="AA47" s="22"/>
      <c r="AB47" s="22"/>
      <c r="AC47" s="22"/>
      <c r="AD47" s="22"/>
      <c r="AE47" s="22"/>
      <c r="AF47" s="22"/>
      <c r="AG47" s="22"/>
      <c r="AH47" s="22"/>
      <c r="AI47" s="22"/>
      <c r="AJ47" s="22"/>
      <c r="AK47" s="22"/>
      <c r="AL47" s="22"/>
      <c r="AM47" s="22"/>
      <c r="AN47" s="22"/>
      <c r="AO47" s="22"/>
      <c r="AP47" s="22"/>
    </row>
    <row r="48" spans="1:42" ht="33.75" customHeight="1" x14ac:dyDescent="0.3">
      <c r="A48" s="22"/>
      <c r="C48" s="393" t="str">
        <f>TBS_7_3</f>
        <v>Die Energiepreise (netto) können angepasst werden - wird ein Wert verändert, müssen alle angepasst werden. Gegebenenfalls sind Nachweise für deutlich bessere Tarife beizulegen.</v>
      </c>
      <c r="D48" s="393"/>
      <c r="E48" s="393"/>
      <c r="F48" s="393"/>
      <c r="G48" s="393"/>
      <c r="H48" s="393"/>
      <c r="I48" s="393"/>
      <c r="J48" s="393"/>
      <c r="K48" s="393"/>
      <c r="L48" s="393"/>
      <c r="M48" s="393"/>
      <c r="N48" s="393"/>
      <c r="O48" s="393"/>
      <c r="P48" s="393"/>
      <c r="Q48" s="48"/>
      <c r="R48" s="29"/>
      <c r="S48" s="30"/>
      <c r="T48" s="22"/>
      <c r="U48" s="22"/>
      <c r="V48" s="22"/>
      <c r="W48" s="22"/>
      <c r="X48" s="22"/>
      <c r="Y48" s="22"/>
      <c r="Z48" s="22"/>
      <c r="AA48" s="22"/>
      <c r="AB48" s="22"/>
      <c r="AC48" s="22"/>
      <c r="AD48" s="22"/>
      <c r="AE48" s="22"/>
      <c r="AF48" s="22"/>
      <c r="AG48" s="22"/>
      <c r="AH48" s="22"/>
      <c r="AI48" s="22"/>
      <c r="AJ48" s="22"/>
      <c r="AK48" s="22"/>
      <c r="AL48" s="22"/>
      <c r="AM48" s="22"/>
      <c r="AN48" s="22"/>
      <c r="AO48" s="22"/>
      <c r="AP48" s="22"/>
    </row>
    <row r="49" spans="1:42" x14ac:dyDescent="0.3">
      <c r="A49" s="22"/>
      <c r="C49" s="48"/>
      <c r="D49" s="48"/>
      <c r="E49" s="48"/>
      <c r="F49" s="438" t="s">
        <v>12</v>
      </c>
      <c r="G49" s="438"/>
      <c r="H49" s="438"/>
      <c r="I49" s="410" t="s">
        <v>327</v>
      </c>
      <c r="J49" s="410"/>
      <c r="K49" s="410"/>
      <c r="L49" s="410"/>
      <c r="M49" s="438" t="s">
        <v>168</v>
      </c>
      <c r="N49" s="438"/>
      <c r="O49" s="438"/>
      <c r="P49" s="438"/>
      <c r="Q49" s="48"/>
      <c r="R49" s="29"/>
      <c r="S49" s="30"/>
      <c r="T49" s="145"/>
      <c r="U49" s="22"/>
      <c r="V49" s="22"/>
      <c r="W49" s="22"/>
      <c r="X49" s="22"/>
      <c r="Y49" s="22"/>
      <c r="Z49" s="22"/>
      <c r="AA49" s="22"/>
      <c r="AB49" s="22"/>
      <c r="AC49" s="22"/>
      <c r="AD49" s="22"/>
      <c r="AE49" s="22"/>
      <c r="AF49" s="22"/>
      <c r="AG49" s="22"/>
      <c r="AH49" s="22"/>
      <c r="AI49" s="22"/>
      <c r="AJ49" s="22"/>
      <c r="AK49" s="22"/>
      <c r="AL49" s="22"/>
      <c r="AM49" s="22"/>
      <c r="AN49" s="22"/>
      <c r="AO49" s="22"/>
      <c r="AP49" s="22"/>
    </row>
    <row r="50" spans="1:42" x14ac:dyDescent="0.3">
      <c r="A50" s="22"/>
      <c r="C50" s="439" t="s">
        <v>8</v>
      </c>
      <c r="D50" s="439"/>
      <c r="E50" s="439"/>
      <c r="F50" s="104" t="s">
        <v>166</v>
      </c>
      <c r="G50" s="434" t="s">
        <v>167</v>
      </c>
      <c r="H50" s="434"/>
      <c r="I50" s="441"/>
      <c r="J50" s="441"/>
      <c r="K50" s="441"/>
      <c r="L50" s="441"/>
      <c r="M50" s="434" t="s">
        <v>174</v>
      </c>
      <c r="N50" s="434"/>
      <c r="O50" s="438" t="str">
        <f>IF(AND(EA_WG=TRUE,EA_BGF&lt;Basis_BGF_Grenze),"","Freie Eingabe")</f>
        <v>Freie Eingabe</v>
      </c>
      <c r="P50" s="438"/>
      <c r="Q50" s="48"/>
      <c r="R50" s="29"/>
      <c r="S50" s="30"/>
      <c r="T50" s="145"/>
      <c r="U50" s="22"/>
      <c r="V50" s="22"/>
      <c r="W50" s="22"/>
      <c r="X50" s="22"/>
      <c r="Y50" s="22"/>
      <c r="Z50" s="22"/>
      <c r="AA50" s="22"/>
      <c r="AB50" s="22"/>
      <c r="AC50" s="22"/>
      <c r="AD50" s="22"/>
      <c r="AE50" s="22"/>
      <c r="AF50" s="22"/>
      <c r="AG50" s="22"/>
      <c r="AH50" s="22"/>
      <c r="AI50" s="22"/>
      <c r="AJ50" s="22"/>
      <c r="AK50" s="22"/>
      <c r="AL50" s="22"/>
      <c r="AM50" s="22"/>
      <c r="AN50" s="22"/>
      <c r="AO50" s="22"/>
      <c r="AP50" s="22"/>
    </row>
    <row r="51" spans="1:42" x14ac:dyDescent="0.3">
      <c r="A51" s="22"/>
      <c r="B51" s="184" t="str">
        <f t="shared" ref="B51:B56" si="5">IF(R51="","","!")</f>
        <v/>
      </c>
      <c r="C51" s="455" t="str">
        <f>Tabellen!Q10</f>
        <v>Pellets</v>
      </c>
      <c r="D51" s="455"/>
      <c r="E51" s="455"/>
      <c r="F51" s="66">
        <f>VLOOKUP(C51,Tabelle_Energie,2,FALSE)</f>
        <v>1.1299999999999999</v>
      </c>
      <c r="G51" s="436">
        <f>VLOOKUP(C51,Tabelle_Energie,4,FALSE)</f>
        <v>17</v>
      </c>
      <c r="H51" s="436"/>
      <c r="I51" s="435">
        <f>VLOOKUP(C51,Tabelle_Energie,5,FALSE)</f>
        <v>2.1000000000000001E-2</v>
      </c>
      <c r="J51" s="435"/>
      <c r="K51" s="435"/>
      <c r="L51" s="435"/>
      <c r="M51" s="449">
        <f>VLOOKUP(C51,Tabelle_Energie,6,FALSE)*100</f>
        <v>4.2477876106194694</v>
      </c>
      <c r="N51" s="449"/>
      <c r="O51" s="427"/>
      <c r="P51" s="427"/>
      <c r="Q51" s="48"/>
      <c r="R51" s="178" t="str">
        <f t="shared" ref="R51:R56" si="6">IF(S51="","","ï")</f>
        <v/>
      </c>
      <c r="S51" s="265" t="str">
        <f t="shared" ref="S51:S56" si="7">IF(AND(Basis_mod_Energiekosten=TRUE,O51="",C51&lt;&gt;""),TBS_Fehler_2,IF(OR(AND(Basis_mod_Energiekosten=FALSE,O51&lt;&gt;"",C51&lt;&gt;""),AND(C51="",O51&lt;&gt;"")),TBS_Fehler_3,""))</f>
        <v/>
      </c>
      <c r="T51" s="145"/>
      <c r="U51" s="22"/>
      <c r="V51" s="22"/>
      <c r="W51" s="22"/>
      <c r="X51" s="22"/>
      <c r="Y51" s="22"/>
      <c r="Z51" s="22"/>
      <c r="AA51" s="22"/>
      <c r="AB51" s="22"/>
      <c r="AC51" s="22"/>
      <c r="AD51" s="22"/>
      <c r="AE51" s="22"/>
      <c r="AF51" s="22"/>
      <c r="AG51" s="22"/>
      <c r="AH51" s="22"/>
      <c r="AI51" s="22"/>
      <c r="AJ51" s="22"/>
      <c r="AK51" s="22"/>
      <c r="AL51" s="22"/>
      <c r="AM51" s="22"/>
      <c r="AN51" s="22"/>
      <c r="AO51" s="22"/>
      <c r="AP51" s="22"/>
    </row>
    <row r="52" spans="1:42" x14ac:dyDescent="0.3">
      <c r="A52" s="22"/>
      <c r="B52" s="184" t="str">
        <f t="shared" si="5"/>
        <v/>
      </c>
      <c r="C52" s="414" t="str">
        <f>Tabellen!Q7</f>
        <v>Nah- und Fernwärme (ern.)</v>
      </c>
      <c r="D52" s="414"/>
      <c r="E52" s="414"/>
      <c r="F52" s="244">
        <f>VLOOKUP(C52,Tabelle_Energie,2,FALSE)</f>
        <v>1.6</v>
      </c>
      <c r="G52" s="445">
        <f>VLOOKUP(C52,Tabelle_Energie,4,FALSE)</f>
        <v>59</v>
      </c>
      <c r="H52" s="445"/>
      <c r="I52" s="446">
        <f>VLOOKUP(C52,Tabelle_Energie,5,FALSE)</f>
        <v>1.2999999999999999E-2</v>
      </c>
      <c r="J52" s="446"/>
      <c r="K52" s="446"/>
      <c r="L52" s="446"/>
      <c r="M52" s="433">
        <f>VLOOKUP(C52,Tabelle_Energie,6,FALSE)*100</f>
        <v>13.333333333333334</v>
      </c>
      <c r="N52" s="433"/>
      <c r="O52" s="427"/>
      <c r="P52" s="427"/>
      <c r="Q52" s="48"/>
      <c r="R52" s="178" t="str">
        <f t="shared" si="6"/>
        <v/>
      </c>
      <c r="S52" s="265" t="str">
        <f t="shared" si="7"/>
        <v/>
      </c>
      <c r="T52" s="145"/>
      <c r="U52" s="22"/>
      <c r="V52" s="22"/>
      <c r="W52" s="22"/>
      <c r="X52" s="22"/>
      <c r="Y52" s="22"/>
      <c r="Z52" s="22"/>
      <c r="AA52" s="22"/>
      <c r="AB52" s="22"/>
      <c r="AC52" s="22"/>
      <c r="AD52" s="22"/>
      <c r="AE52" s="22"/>
      <c r="AF52" s="22"/>
      <c r="AG52" s="22"/>
      <c r="AH52" s="22"/>
      <c r="AI52" s="22"/>
      <c r="AJ52" s="22"/>
      <c r="AK52" s="22"/>
      <c r="AL52" s="22"/>
      <c r="AM52" s="22"/>
      <c r="AN52" s="22"/>
      <c r="AO52" s="22"/>
      <c r="AP52" s="22"/>
    </row>
    <row r="53" spans="1:42" x14ac:dyDescent="0.3">
      <c r="A53" s="22"/>
      <c r="B53" s="184" t="str">
        <f t="shared" si="5"/>
        <v/>
      </c>
      <c r="C53" s="414" t="str">
        <f>Tabellen!Q11</f>
        <v>Strom</v>
      </c>
      <c r="D53" s="414"/>
      <c r="E53" s="414"/>
      <c r="F53" s="244">
        <f>VLOOKUP(C53,Tabelle_Energie,2,FALSE)</f>
        <v>1.63</v>
      </c>
      <c r="G53" s="445">
        <f>VLOOKUP(C53,Tabelle_Energie,4,FALSE)</f>
        <v>227</v>
      </c>
      <c r="H53" s="445"/>
      <c r="I53" s="446">
        <f>VLOOKUP(C53,Tabelle_Energie,5,FALSE)</f>
        <v>2.4E-2</v>
      </c>
      <c r="J53" s="446"/>
      <c r="K53" s="446"/>
      <c r="L53" s="446"/>
      <c r="M53" s="433">
        <f>VLOOKUP(C53,Tabelle_Energie,6,FALSE)*100</f>
        <v>16.25</v>
      </c>
      <c r="N53" s="433"/>
      <c r="O53" s="427"/>
      <c r="P53" s="427"/>
      <c r="Q53" s="48"/>
      <c r="R53" s="178" t="str">
        <f t="shared" si="6"/>
        <v/>
      </c>
      <c r="S53" s="265" t="str">
        <f t="shared" si="7"/>
        <v/>
      </c>
      <c r="T53" s="145"/>
      <c r="U53" s="22"/>
      <c r="V53" s="22"/>
      <c r="W53" s="22"/>
      <c r="X53" s="22"/>
      <c r="Y53" s="22"/>
      <c r="Z53" s="22"/>
      <c r="AA53" s="22"/>
      <c r="AB53" s="22"/>
      <c r="AC53" s="22"/>
      <c r="AD53" s="22"/>
      <c r="AE53" s="22"/>
      <c r="AF53" s="22"/>
      <c r="AG53" s="22"/>
      <c r="AH53" s="22"/>
      <c r="AI53" s="22"/>
      <c r="AJ53" s="22"/>
      <c r="AK53" s="22"/>
      <c r="AL53" s="22"/>
      <c r="AM53" s="22"/>
      <c r="AN53" s="22"/>
      <c r="AO53" s="22"/>
      <c r="AP53" s="22"/>
    </row>
    <row r="54" spans="1:42" x14ac:dyDescent="0.3">
      <c r="A54" s="22"/>
      <c r="B54" s="184" t="e">
        <f t="shared" si="5"/>
        <v>#N/A</v>
      </c>
      <c r="C54" s="414" t="e">
        <f>IF(COUNTIF($C$51:C53,VLOOKUP(INDEX(EA_WW_System,EA_WW_System_Select),Tabelle_Betriebskosten,2,FALSE))=0,VLOOKUP(INDEX(EA_WW_System,EA_WW_System_Select),Tabelle_Betriebskosten,2,FALSE),IF(COUNTIF($C$51:C53,VLOOKUP(INDEX(EA_RH_System,EA_RH_System_Select),Tabelle_Betriebskosten,2,FALSE))=0,VLOOKUP(INDEX(EA_RH_System,EA_RH_System_Select),Tabelle_Betriebskosten,2,FALSE),IF(EA_PV_Status=TRUE,Tabellen!$Q$13,"")))</f>
        <v>#N/A</v>
      </c>
      <c r="D54" s="414"/>
      <c r="E54" s="414"/>
      <c r="F54" s="244" t="e">
        <f>IF(C54="","",VLOOKUP(C54,Tabelle_Energie,2,FALSE))</f>
        <v>#N/A</v>
      </c>
      <c r="G54" s="445" t="e">
        <f>IF(C54="","",VLOOKUP(C54,Tabelle_Energie,4,FALSE))</f>
        <v>#N/A</v>
      </c>
      <c r="H54" s="445"/>
      <c r="I54" s="446" t="e">
        <f>IF(C54="","",VLOOKUP(C54,Tabelle_Energie,5,FALSE))</f>
        <v>#N/A</v>
      </c>
      <c r="J54" s="446"/>
      <c r="K54" s="446"/>
      <c r="L54" s="446"/>
      <c r="M54" s="433" t="e">
        <f>IF(C54="","",VLOOKUP(C54,Tabelle_Energie,6,FALSE)*100)</f>
        <v>#N/A</v>
      </c>
      <c r="N54" s="433"/>
      <c r="O54" s="427"/>
      <c r="P54" s="427"/>
      <c r="Q54" s="48"/>
      <c r="R54" s="178" t="e">
        <f t="shared" si="6"/>
        <v>#N/A</v>
      </c>
      <c r="S54" s="265" t="e">
        <f t="shared" si="7"/>
        <v>#N/A</v>
      </c>
      <c r="T54" s="145"/>
      <c r="U54" s="22"/>
      <c r="V54" s="22"/>
      <c r="W54" s="22"/>
      <c r="X54" s="22"/>
      <c r="Y54" s="22"/>
      <c r="Z54" s="22"/>
      <c r="AA54" s="22"/>
      <c r="AB54" s="22"/>
      <c r="AC54" s="22"/>
      <c r="AD54" s="22"/>
      <c r="AE54" s="22"/>
      <c r="AF54" s="22"/>
      <c r="AG54" s="22"/>
      <c r="AH54" s="22"/>
      <c r="AI54" s="22"/>
      <c r="AJ54" s="22"/>
      <c r="AK54" s="22"/>
      <c r="AL54" s="22"/>
      <c r="AM54" s="22"/>
      <c r="AN54" s="22"/>
      <c r="AO54" s="22"/>
      <c r="AP54" s="22"/>
    </row>
    <row r="55" spans="1:42" x14ac:dyDescent="0.3">
      <c r="A55" s="22"/>
      <c r="B55" s="184" t="str">
        <f t="shared" si="5"/>
        <v/>
      </c>
      <c r="C55" s="414" t="str">
        <f>IF(COUNTIF($C$51:C54,VLOOKUP(INDEX(EA_RH_System,EA_RH_System_Select),Tabelle_Betriebskosten,2,FALSE))=0,VLOOKUP(INDEX(EA_RH_System,EA_RH_System_Select),Tabelle_Betriebskosten,2,FALSE),IF(AND(COUNTIF($C$51:C54,Tabellen!$Q$13)=0,EA_PV_Status=TRUE),Tabellen!$Q$13,""))</f>
        <v/>
      </c>
      <c r="D55" s="414"/>
      <c r="E55" s="414"/>
      <c r="F55" s="244" t="str">
        <f>IF(C55="","",VLOOKUP(C55,Tabelle_Energie,2,FALSE))</f>
        <v/>
      </c>
      <c r="G55" s="445" t="str">
        <f>IF(C55="","",VLOOKUP(C55,Tabelle_Energie,4,FALSE))</f>
        <v/>
      </c>
      <c r="H55" s="445"/>
      <c r="I55" s="446" t="str">
        <f>IF(C55="","",VLOOKUP(C55,Tabelle_Energie,5,FALSE))</f>
        <v/>
      </c>
      <c r="J55" s="446"/>
      <c r="K55" s="446"/>
      <c r="L55" s="446"/>
      <c r="M55" s="433" t="str">
        <f>IF(C55="","",VLOOKUP(C55,Tabelle_Energie,6,FALSE)*100)</f>
        <v/>
      </c>
      <c r="N55" s="433"/>
      <c r="O55" s="427"/>
      <c r="P55" s="427"/>
      <c r="Q55" s="48"/>
      <c r="R55" s="178" t="str">
        <f t="shared" si="6"/>
        <v/>
      </c>
      <c r="S55" s="265" t="str">
        <f t="shared" si="7"/>
        <v/>
      </c>
      <c r="T55" s="145"/>
      <c r="U55" s="22"/>
      <c r="V55" s="22"/>
      <c r="W55" s="22"/>
      <c r="X55" s="22"/>
      <c r="Y55" s="22"/>
      <c r="Z55" s="22"/>
      <c r="AA55" s="22"/>
      <c r="AB55" s="22"/>
      <c r="AC55" s="22"/>
      <c r="AD55" s="22"/>
      <c r="AE55" s="22"/>
      <c r="AF55" s="22"/>
      <c r="AG55" s="22"/>
      <c r="AH55" s="22"/>
      <c r="AI55" s="22"/>
      <c r="AJ55" s="22"/>
      <c r="AK55" s="22"/>
      <c r="AL55" s="22"/>
      <c r="AM55" s="22"/>
      <c r="AN55" s="22"/>
      <c r="AO55" s="22"/>
      <c r="AP55" s="22"/>
    </row>
    <row r="56" spans="1:42" x14ac:dyDescent="0.3">
      <c r="A56" s="22"/>
      <c r="B56" s="184" t="str">
        <f t="shared" si="5"/>
        <v/>
      </c>
      <c r="C56" s="414" t="str">
        <f>IF(AND(COUNTIF($C$51:C55,Tabellen!$Q$13)=0,EA_PV_Status=TRUE),Tabellen!$Q$13,"")</f>
        <v/>
      </c>
      <c r="D56" s="414"/>
      <c r="E56" s="414"/>
      <c r="F56" s="244" t="str">
        <f>IF(C56="","",VLOOKUP(C56,Tabelle_Energie,2,FALSE))</f>
        <v/>
      </c>
      <c r="G56" s="445" t="str">
        <f>IF(C56="","",VLOOKUP(C56,Tabelle_Energie,4,FALSE))</f>
        <v/>
      </c>
      <c r="H56" s="445"/>
      <c r="I56" s="446" t="str">
        <f>IF(C56="","",VLOOKUP(C56,Tabelle_Energie,5,FALSE))</f>
        <v/>
      </c>
      <c r="J56" s="446"/>
      <c r="K56" s="446"/>
      <c r="L56" s="446"/>
      <c r="M56" s="433" t="str">
        <f>IF(C56="","",VLOOKUP(C56,Tabelle_Energie,6,FALSE)*100)</f>
        <v/>
      </c>
      <c r="N56" s="433"/>
      <c r="O56" s="427"/>
      <c r="P56" s="427"/>
      <c r="Q56" s="48"/>
      <c r="R56" s="178" t="str">
        <f t="shared" si="6"/>
        <v/>
      </c>
      <c r="S56" s="265" t="str">
        <f t="shared" si="7"/>
        <v/>
      </c>
      <c r="T56" s="145"/>
      <c r="U56" s="22"/>
      <c r="V56" s="22"/>
      <c r="W56" s="22"/>
      <c r="X56" s="22"/>
      <c r="Y56" s="22"/>
      <c r="Z56" s="22"/>
      <c r="AA56" s="22"/>
      <c r="AB56" s="22"/>
      <c r="AC56" s="22"/>
      <c r="AD56" s="22"/>
      <c r="AE56" s="22"/>
      <c r="AF56" s="22"/>
      <c r="AG56" s="22"/>
      <c r="AH56" s="22"/>
      <c r="AI56" s="22"/>
      <c r="AJ56" s="22"/>
      <c r="AK56" s="22"/>
      <c r="AL56" s="22"/>
      <c r="AM56" s="22"/>
      <c r="AN56" s="22"/>
      <c r="AO56" s="22"/>
      <c r="AP56" s="22"/>
    </row>
    <row r="57" spans="1:42" ht="25.5" customHeight="1" x14ac:dyDescent="0.3">
      <c r="A57" s="22"/>
      <c r="C57" s="142" t="s">
        <v>328</v>
      </c>
      <c r="D57" s="48"/>
      <c r="E57" s="48"/>
      <c r="F57" s="48"/>
      <c r="G57" s="48"/>
      <c r="H57" s="48"/>
      <c r="I57" s="48"/>
      <c r="J57" s="48"/>
      <c r="K57" s="48"/>
      <c r="L57" s="48"/>
      <c r="M57" s="48"/>
      <c r="N57" s="48"/>
      <c r="O57" s="48"/>
      <c r="P57" s="48"/>
      <c r="Q57" s="48"/>
      <c r="R57" s="29"/>
      <c r="S57" s="30"/>
      <c r="T57" s="145"/>
      <c r="U57" s="22"/>
      <c r="V57" s="22"/>
      <c r="W57" s="22"/>
      <c r="X57" s="22"/>
      <c r="Y57" s="22"/>
      <c r="Z57" s="22"/>
      <c r="AA57" s="22"/>
      <c r="AB57" s="22"/>
      <c r="AC57" s="22"/>
      <c r="AD57" s="22"/>
      <c r="AE57" s="22"/>
      <c r="AF57" s="22"/>
      <c r="AG57" s="22"/>
      <c r="AH57" s="22"/>
      <c r="AI57" s="22"/>
      <c r="AJ57" s="22"/>
      <c r="AK57" s="22"/>
      <c r="AL57" s="22"/>
      <c r="AM57" s="22"/>
      <c r="AN57" s="22"/>
      <c r="AO57" s="22"/>
      <c r="AP57" s="22"/>
    </row>
    <row r="58" spans="1:42" x14ac:dyDescent="0.3">
      <c r="A58" s="22"/>
      <c r="C58" s="246" t="str">
        <f>$A$2&amp;".2"&amp;".4 "&amp;UPPER("Betriebskosten")</f>
        <v>7.2.4 BETRIEBSKOSTEN</v>
      </c>
      <c r="R58" s="22"/>
      <c r="S58" s="30"/>
      <c r="T58" s="22"/>
      <c r="U58" s="22"/>
      <c r="V58" s="22"/>
      <c r="W58" s="22"/>
      <c r="X58" s="22"/>
      <c r="Y58" s="22"/>
      <c r="Z58" s="22"/>
      <c r="AA58" s="22"/>
      <c r="AB58" s="22"/>
      <c r="AC58" s="22"/>
      <c r="AD58" s="22"/>
      <c r="AE58" s="22"/>
      <c r="AF58" s="22"/>
      <c r="AG58" s="22"/>
      <c r="AH58" s="22"/>
      <c r="AI58" s="22"/>
      <c r="AJ58" s="22"/>
      <c r="AK58" s="22"/>
      <c r="AL58" s="22"/>
      <c r="AM58" s="22"/>
      <c r="AN58" s="22"/>
      <c r="AO58" s="22"/>
      <c r="AP58" s="22"/>
    </row>
    <row r="59" spans="1:42" ht="33.75" customHeight="1" x14ac:dyDescent="0.3">
      <c r="A59" s="22"/>
      <c r="C59" s="369" t="str">
        <f>TBS_7_4</f>
        <v>Die Betriebskosten (netto) können angepasst werden - wird ein Wert verändert, müssen alle angepasst werden. Gegebenenfalls sind Nachweise beizulegen.</v>
      </c>
      <c r="D59" s="369"/>
      <c r="E59" s="369"/>
      <c r="F59" s="369"/>
      <c r="G59" s="369"/>
      <c r="H59" s="369"/>
      <c r="I59" s="369"/>
      <c r="J59" s="369"/>
      <c r="K59" s="369"/>
      <c r="L59" s="369"/>
      <c r="M59" s="369"/>
      <c r="N59" s="369"/>
      <c r="O59" s="369"/>
      <c r="P59" s="369"/>
      <c r="R59" s="22"/>
      <c r="S59" s="30"/>
      <c r="T59" s="22"/>
      <c r="U59" s="22"/>
      <c r="V59" s="22"/>
      <c r="W59" s="22"/>
      <c r="X59" s="22"/>
      <c r="Y59" s="22"/>
      <c r="Z59" s="22"/>
      <c r="AA59" s="22"/>
      <c r="AB59" s="22"/>
      <c r="AC59" s="22"/>
      <c r="AD59" s="22"/>
      <c r="AE59" s="22"/>
      <c r="AF59" s="22"/>
      <c r="AG59" s="22"/>
      <c r="AH59" s="22"/>
      <c r="AI59" s="22"/>
      <c r="AJ59" s="22"/>
      <c r="AK59" s="22"/>
      <c r="AL59" s="22"/>
      <c r="AM59" s="22"/>
      <c r="AN59" s="22"/>
      <c r="AO59" s="22"/>
      <c r="AP59" s="22"/>
    </row>
    <row r="60" spans="1:42" x14ac:dyDescent="0.3">
      <c r="A60" s="22"/>
      <c r="C60" s="439" t="s">
        <v>48</v>
      </c>
      <c r="D60" s="439"/>
      <c r="E60" s="439"/>
      <c r="F60" s="301"/>
      <c r="G60" s="301"/>
      <c r="H60" s="301"/>
      <c r="I60" s="301"/>
      <c r="J60" s="301"/>
      <c r="K60" s="301"/>
      <c r="L60" s="434" t="s">
        <v>329</v>
      </c>
      <c r="M60" s="434"/>
      <c r="N60" s="438" t="str">
        <f>IF(AND(EA_WG=TRUE,EA_BGF&lt;Basis_BGF_Grenze),"","Freie Eingabe [€/a]")</f>
        <v>Freie Eingabe [€/a]</v>
      </c>
      <c r="O60" s="438"/>
      <c r="P60" s="438"/>
      <c r="R60" s="22"/>
      <c r="S60" s="30"/>
      <c r="T60" s="22"/>
      <c r="U60" s="22"/>
      <c r="V60" s="22"/>
      <c r="W60" s="22"/>
      <c r="X60" s="22"/>
      <c r="Y60" s="22"/>
      <c r="Z60" s="22"/>
      <c r="AA60" s="22"/>
      <c r="AB60" s="22"/>
      <c r="AC60" s="22"/>
      <c r="AD60" s="22"/>
      <c r="AE60" s="22"/>
      <c r="AF60" s="22"/>
      <c r="AG60" s="22"/>
      <c r="AH60" s="22"/>
      <c r="AI60" s="22"/>
      <c r="AJ60" s="22"/>
      <c r="AK60" s="22"/>
      <c r="AL60" s="22"/>
      <c r="AM60" s="22"/>
      <c r="AN60" s="22"/>
      <c r="AO60" s="22"/>
      <c r="AP60" s="22"/>
    </row>
    <row r="61" spans="1:42" x14ac:dyDescent="0.3">
      <c r="A61" s="22"/>
      <c r="B61" s="184" t="str">
        <f t="shared" ref="B61:B66" si="8">IF(R61="","","!")</f>
        <v/>
      </c>
      <c r="C61" s="420" t="str">
        <f>Auswahl!$G$4&amp;" | "&amp;Auswahl!$H$4</f>
        <v>1 | Bitte wählen…</v>
      </c>
      <c r="D61" s="420"/>
      <c r="E61" s="420"/>
      <c r="F61" s="454"/>
      <c r="G61" s="454"/>
      <c r="H61" s="458"/>
      <c r="I61" s="458"/>
      <c r="J61" s="458"/>
      <c r="K61" s="458"/>
      <c r="L61" s="460" t="str">
        <f>IF(EA_RH_System_Select=1,"",VLOOKUP(Auswahl!$H$4,Tabelle_Betriebskosten,6,FALSE))</f>
        <v/>
      </c>
      <c r="M61" s="460"/>
      <c r="N61" s="457"/>
      <c r="O61" s="457"/>
      <c r="P61" s="457"/>
      <c r="R61" s="178" t="str">
        <f t="shared" ref="R61:R66" si="9">IF(S61="","","ï")</f>
        <v/>
      </c>
      <c r="S61" s="221" t="str">
        <f t="shared" ref="S61:S66" si="10">IF(AND(Basis_mod_Betrieb=TRUE,N61=""),TBS_Fehler_2,IF(AND(Basis_mod_Betrieb=FALSE,N61&lt;&gt;""),TBS_Fehler_3,""))</f>
        <v/>
      </c>
      <c r="T61" s="22"/>
      <c r="U61" s="22"/>
      <c r="V61" s="22"/>
      <c r="W61" s="22"/>
      <c r="X61" s="22"/>
      <c r="Y61" s="22"/>
      <c r="Z61" s="22"/>
      <c r="AA61" s="22"/>
      <c r="AB61" s="22"/>
      <c r="AC61" s="22"/>
      <c r="AD61" s="22"/>
      <c r="AE61" s="22"/>
      <c r="AF61" s="22"/>
      <c r="AG61" s="22"/>
      <c r="AH61" s="22"/>
      <c r="AI61" s="22"/>
      <c r="AJ61" s="22"/>
      <c r="AK61" s="22"/>
      <c r="AL61" s="22"/>
      <c r="AM61" s="22"/>
      <c r="AN61" s="22"/>
      <c r="AO61" s="22"/>
      <c r="AP61" s="22"/>
    </row>
    <row r="62" spans="1:42" x14ac:dyDescent="0.3">
      <c r="A62" s="22"/>
      <c r="B62" s="184" t="str">
        <f t="shared" si="8"/>
        <v/>
      </c>
      <c r="C62" s="414" t="str">
        <f>Auswahl!$G$5&amp;" | "&amp;Auswahl!$H$5</f>
        <v>2 | Pelletsanlage</v>
      </c>
      <c r="D62" s="414"/>
      <c r="E62" s="414"/>
      <c r="F62" s="450"/>
      <c r="G62" s="450"/>
      <c r="H62" s="451"/>
      <c r="I62" s="451"/>
      <c r="J62" s="451"/>
      <c r="K62" s="451"/>
      <c r="L62" s="456" t="str">
        <f>VLOOKUP(Auswahl!$H$5,Tabelle_Betriebskosten,6,FALSE)</f>
        <v>---</v>
      </c>
      <c r="M62" s="456"/>
      <c r="N62" s="457"/>
      <c r="O62" s="457"/>
      <c r="P62" s="457"/>
      <c r="R62" s="178" t="str">
        <f t="shared" si="9"/>
        <v/>
      </c>
      <c r="S62" s="221" t="str">
        <f t="shared" si="10"/>
        <v/>
      </c>
      <c r="T62" s="22"/>
      <c r="U62" s="22"/>
      <c r="V62" s="22"/>
      <c r="W62" s="22"/>
      <c r="X62" s="22"/>
      <c r="Y62" s="22"/>
      <c r="Z62" s="22"/>
      <c r="AA62" s="22"/>
      <c r="AB62" s="22"/>
      <c r="AC62" s="22"/>
      <c r="AD62" s="22"/>
      <c r="AE62" s="22"/>
      <c r="AF62" s="22"/>
      <c r="AG62" s="22"/>
      <c r="AH62" s="22"/>
      <c r="AI62" s="22"/>
      <c r="AJ62" s="22"/>
      <c r="AK62" s="22"/>
      <c r="AL62" s="22"/>
      <c r="AM62" s="22"/>
      <c r="AN62" s="22"/>
      <c r="AO62" s="22"/>
      <c r="AP62" s="22"/>
    </row>
    <row r="63" spans="1:42" x14ac:dyDescent="0.3">
      <c r="A63" s="22"/>
      <c r="B63" s="184" t="str">
        <f t="shared" si="8"/>
        <v/>
      </c>
      <c r="C63" s="414" t="str">
        <f>Auswahl!$G$6&amp;" | "&amp;Auswahl!$H$6</f>
        <v>3 | Nah- /Fernwärme (ern.)</v>
      </c>
      <c r="D63" s="414"/>
      <c r="E63" s="414"/>
      <c r="F63" s="450"/>
      <c r="G63" s="450"/>
      <c r="H63" s="451"/>
      <c r="I63" s="451"/>
      <c r="J63" s="451"/>
      <c r="K63" s="451"/>
      <c r="L63" s="456" t="str">
        <f>VLOOKUP(Auswahl!$H$6,Tabelle_Betriebskosten,6,FALSE)</f>
        <v>---</v>
      </c>
      <c r="M63" s="456"/>
      <c r="N63" s="457"/>
      <c r="O63" s="457"/>
      <c r="P63" s="457"/>
      <c r="R63" s="178" t="str">
        <f t="shared" si="9"/>
        <v/>
      </c>
      <c r="S63" s="221" t="str">
        <f t="shared" si="10"/>
        <v/>
      </c>
      <c r="T63" s="22"/>
      <c r="U63" s="22"/>
      <c r="V63" s="22"/>
      <c r="W63" s="22"/>
      <c r="X63" s="22"/>
      <c r="Y63" s="22"/>
      <c r="Z63" s="22"/>
      <c r="AA63" s="22"/>
      <c r="AB63" s="22"/>
      <c r="AC63" s="22"/>
      <c r="AD63" s="22"/>
      <c r="AE63" s="22"/>
      <c r="AF63" s="22"/>
      <c r="AG63" s="22"/>
      <c r="AH63" s="22"/>
      <c r="AI63" s="22"/>
      <c r="AJ63" s="22"/>
      <c r="AK63" s="22"/>
      <c r="AL63" s="22"/>
      <c r="AM63" s="22"/>
      <c r="AN63" s="22"/>
      <c r="AO63" s="22"/>
      <c r="AP63" s="22"/>
    </row>
    <row r="64" spans="1:42" x14ac:dyDescent="0.3">
      <c r="A64" s="22"/>
      <c r="B64" s="184" t="str">
        <f t="shared" si="8"/>
        <v/>
      </c>
      <c r="C64" s="414" t="str">
        <f>Auswahl!$G$7&amp;" | "&amp;Auswahl!$H$7</f>
        <v>4 | Wärmepumpe (Luft)</v>
      </c>
      <c r="D64" s="414"/>
      <c r="E64" s="414"/>
      <c r="F64" s="450"/>
      <c r="G64" s="450"/>
      <c r="H64" s="451"/>
      <c r="I64" s="451"/>
      <c r="J64" s="451"/>
      <c r="K64" s="451"/>
      <c r="L64" s="456" t="str">
        <f>VLOOKUP(Auswahl!$H$7,Tabelle_Betriebskosten,6,FALSE)</f>
        <v>---</v>
      </c>
      <c r="M64" s="456"/>
      <c r="N64" s="457"/>
      <c r="O64" s="457"/>
      <c r="P64" s="457"/>
      <c r="R64" s="178" t="str">
        <f t="shared" si="9"/>
        <v/>
      </c>
      <c r="S64" s="221" t="str">
        <f t="shared" si="10"/>
        <v/>
      </c>
      <c r="T64" s="22"/>
      <c r="U64" s="22"/>
      <c r="V64" s="22"/>
      <c r="W64" s="22"/>
      <c r="X64" s="22"/>
      <c r="Y64" s="22"/>
      <c r="Z64" s="22"/>
      <c r="AA64" s="22"/>
      <c r="AB64" s="22"/>
      <c r="AC64" s="22"/>
      <c r="AD64" s="22"/>
      <c r="AE64" s="22"/>
      <c r="AF64" s="22"/>
      <c r="AG64" s="22"/>
      <c r="AH64" s="22"/>
      <c r="AI64" s="22"/>
      <c r="AJ64" s="22"/>
      <c r="AK64" s="22"/>
      <c r="AL64" s="22"/>
      <c r="AM64" s="22"/>
      <c r="AN64" s="22"/>
      <c r="AO64" s="22"/>
      <c r="AP64" s="22"/>
    </row>
    <row r="65" spans="1:42" x14ac:dyDescent="0.3">
      <c r="A65" s="22"/>
      <c r="B65" s="184" t="str">
        <f t="shared" si="8"/>
        <v/>
      </c>
      <c r="C65" s="414" t="str">
        <f>Auswahl!$G$8&amp;" | "&amp;Auswahl!$H$8</f>
        <v>5 | Wärmepumpe (Wasser)</v>
      </c>
      <c r="D65" s="414"/>
      <c r="E65" s="414"/>
      <c r="F65" s="450"/>
      <c r="G65" s="450"/>
      <c r="H65" s="451"/>
      <c r="I65" s="451"/>
      <c r="J65" s="451"/>
      <c r="K65" s="451"/>
      <c r="L65" s="456" t="str">
        <f>VLOOKUP(Auswahl!$H$8,Tabelle_Betriebskosten,6,FALSE)</f>
        <v>---</v>
      </c>
      <c r="M65" s="456"/>
      <c r="N65" s="457"/>
      <c r="O65" s="457"/>
      <c r="P65" s="457"/>
      <c r="R65" s="178" t="str">
        <f t="shared" si="9"/>
        <v/>
      </c>
      <c r="S65" s="221" t="str">
        <f t="shared" si="10"/>
        <v/>
      </c>
      <c r="T65" s="22"/>
      <c r="U65" s="22"/>
      <c r="V65" s="22"/>
      <c r="W65" s="22"/>
      <c r="X65" s="22"/>
      <c r="Y65" s="22"/>
      <c r="Z65" s="22"/>
      <c r="AA65" s="22"/>
      <c r="AB65" s="22"/>
      <c r="AC65" s="22"/>
      <c r="AD65" s="22"/>
      <c r="AE65" s="22"/>
      <c r="AF65" s="22"/>
      <c r="AG65" s="22"/>
      <c r="AH65" s="22"/>
      <c r="AI65" s="22"/>
      <c r="AJ65" s="22"/>
      <c r="AK65" s="22"/>
      <c r="AL65" s="22"/>
      <c r="AM65" s="22"/>
      <c r="AN65" s="22"/>
      <c r="AO65" s="22"/>
      <c r="AP65" s="22"/>
    </row>
    <row r="66" spans="1:42" x14ac:dyDescent="0.3">
      <c r="A66" s="22"/>
      <c r="B66" s="184" t="str">
        <f t="shared" si="8"/>
        <v/>
      </c>
      <c r="C66" s="414" t="str">
        <f>Auswahl!$G$9&amp;" | "&amp;Auswahl!$H$9</f>
        <v>6 | Wärmepumpe (Sole)</v>
      </c>
      <c r="D66" s="414"/>
      <c r="E66" s="414"/>
      <c r="F66" s="450"/>
      <c r="G66" s="450"/>
      <c r="H66" s="451"/>
      <c r="I66" s="451"/>
      <c r="J66" s="451"/>
      <c r="K66" s="451"/>
      <c r="L66" s="456" t="str">
        <f>VLOOKUP(Auswahl!$H$9,Tabelle_Betriebskosten,6,FALSE)</f>
        <v>---</v>
      </c>
      <c r="M66" s="456"/>
      <c r="N66" s="457"/>
      <c r="O66" s="457"/>
      <c r="P66" s="457"/>
      <c r="R66" s="178" t="str">
        <f t="shared" si="9"/>
        <v/>
      </c>
      <c r="S66" s="221" t="str">
        <f t="shared" si="10"/>
        <v/>
      </c>
      <c r="T66" s="22"/>
      <c r="U66" s="22"/>
      <c r="V66" s="22"/>
      <c r="W66" s="22"/>
      <c r="X66" s="22"/>
      <c r="Y66" s="22"/>
      <c r="Z66" s="22"/>
      <c r="AA66" s="22"/>
      <c r="AB66" s="22"/>
      <c r="AC66" s="22"/>
      <c r="AD66" s="22"/>
      <c r="AE66" s="22"/>
      <c r="AF66" s="22"/>
      <c r="AG66" s="22"/>
      <c r="AH66" s="22"/>
      <c r="AI66" s="22"/>
      <c r="AJ66" s="22"/>
      <c r="AK66" s="22"/>
      <c r="AL66" s="22"/>
      <c r="AM66" s="22"/>
      <c r="AN66" s="22"/>
      <c r="AO66" s="22"/>
      <c r="AP66" s="22"/>
    </row>
    <row r="67" spans="1:42" ht="30" customHeight="1" x14ac:dyDescent="0.3">
      <c r="A67" s="22"/>
      <c r="R67" s="22"/>
      <c r="S67" s="30"/>
      <c r="T67" s="22"/>
      <c r="U67" s="22"/>
      <c r="V67" s="22"/>
      <c r="W67" s="22"/>
      <c r="X67" s="22"/>
      <c r="Y67" s="22"/>
      <c r="Z67" s="22"/>
      <c r="AA67" s="22"/>
      <c r="AB67" s="22"/>
      <c r="AC67" s="22"/>
      <c r="AD67" s="22"/>
      <c r="AE67" s="22"/>
      <c r="AF67" s="22"/>
      <c r="AG67" s="22"/>
      <c r="AH67" s="22"/>
      <c r="AI67" s="22"/>
      <c r="AJ67" s="22"/>
      <c r="AK67" s="22"/>
      <c r="AL67" s="22"/>
      <c r="AM67" s="22"/>
      <c r="AN67" s="22"/>
      <c r="AO67" s="22"/>
      <c r="AP67" s="22"/>
    </row>
    <row r="68" spans="1:42" x14ac:dyDescent="0.3">
      <c r="A68" s="22"/>
      <c r="C68" s="47" t="str">
        <f>$A$2&amp;".3 "&amp;UPPER("Allgemeine Rahmenbedingungen")</f>
        <v>7.3 ALLGEMEINE RAHMENBEDINGUNGEN</v>
      </c>
      <c r="D68" s="48"/>
      <c r="E68" s="48"/>
      <c r="F68" s="48"/>
      <c r="G68" s="48"/>
      <c r="H68" s="48"/>
      <c r="I68" s="48"/>
      <c r="J68" s="48"/>
      <c r="K68" s="48"/>
      <c r="L68" s="48"/>
      <c r="M68" s="48"/>
      <c r="N68" s="48"/>
      <c r="O68" s="48"/>
      <c r="P68" s="48"/>
      <c r="Q68" s="48"/>
      <c r="R68" s="29"/>
      <c r="S68" s="30"/>
      <c r="T68" s="22"/>
      <c r="U68" s="22"/>
      <c r="V68" s="22"/>
      <c r="W68" s="22"/>
      <c r="X68" s="22"/>
      <c r="Y68" s="22"/>
      <c r="Z68" s="22"/>
      <c r="AA68" s="22"/>
      <c r="AB68" s="22"/>
      <c r="AC68" s="22"/>
      <c r="AD68" s="22"/>
      <c r="AE68" s="22"/>
      <c r="AF68" s="22"/>
      <c r="AG68" s="22"/>
      <c r="AH68" s="22"/>
      <c r="AI68" s="22"/>
      <c r="AJ68" s="22"/>
      <c r="AK68" s="22"/>
      <c r="AL68" s="22"/>
      <c r="AM68" s="22"/>
      <c r="AN68" s="22"/>
      <c r="AO68" s="22"/>
      <c r="AP68" s="22"/>
    </row>
    <row r="69" spans="1:42" x14ac:dyDescent="0.3">
      <c r="A69" s="22"/>
      <c r="C69" s="48"/>
      <c r="D69" s="48"/>
      <c r="E69" s="48"/>
      <c r="F69" s="48"/>
      <c r="G69" s="48"/>
      <c r="H69" s="48"/>
      <c r="I69" s="48"/>
      <c r="J69" s="48"/>
      <c r="K69" s="48"/>
      <c r="L69" s="48"/>
      <c r="M69" s="48"/>
      <c r="N69" s="48"/>
      <c r="O69" s="48"/>
      <c r="P69" s="48"/>
      <c r="Q69" s="48"/>
      <c r="R69" s="29"/>
      <c r="S69" s="30"/>
      <c r="T69" s="22"/>
      <c r="U69" s="22"/>
      <c r="V69" s="22"/>
      <c r="W69" s="22"/>
      <c r="X69" s="22"/>
      <c r="Y69" s="22"/>
      <c r="Z69" s="22"/>
      <c r="AA69" s="22"/>
      <c r="AB69" s="22"/>
      <c r="AC69" s="22"/>
      <c r="AD69" s="22"/>
      <c r="AE69" s="22"/>
      <c r="AF69" s="22"/>
      <c r="AG69" s="22"/>
      <c r="AH69" s="22"/>
      <c r="AI69" s="22"/>
      <c r="AJ69" s="22"/>
      <c r="AK69" s="22"/>
      <c r="AL69" s="22"/>
      <c r="AM69" s="22"/>
      <c r="AN69" s="22"/>
      <c r="AO69" s="22"/>
      <c r="AP69" s="22"/>
    </row>
    <row r="70" spans="1:42" x14ac:dyDescent="0.3">
      <c r="A70" s="22"/>
      <c r="C70" s="51" t="s">
        <v>298</v>
      </c>
      <c r="D70" s="51"/>
      <c r="E70" s="51"/>
      <c r="G70" s="275" t="s">
        <v>299</v>
      </c>
      <c r="H70" s="276" t="str">
        <f>Basis_Betrachtungszeitraum&amp;"a"</f>
        <v>20a</v>
      </c>
      <c r="I70" s="51"/>
      <c r="J70" s="51"/>
      <c r="K70" s="48"/>
      <c r="L70" s="48"/>
      <c r="M70" s="48"/>
      <c r="N70" s="48"/>
      <c r="O70" s="48"/>
      <c r="P70" s="48"/>
      <c r="Q70" s="48"/>
      <c r="R70" s="29"/>
      <c r="S70" s="30"/>
      <c r="T70" s="22"/>
      <c r="U70" s="22"/>
      <c r="V70" s="22"/>
      <c r="W70" s="22"/>
      <c r="X70" s="22"/>
      <c r="Y70" s="22"/>
      <c r="Z70" s="22"/>
      <c r="AA70" s="22"/>
      <c r="AB70" s="22"/>
      <c r="AC70" s="22"/>
      <c r="AD70" s="22"/>
      <c r="AE70" s="22"/>
      <c r="AF70" s="22"/>
      <c r="AG70" s="22"/>
      <c r="AH70" s="22"/>
      <c r="AI70" s="22"/>
      <c r="AJ70" s="22"/>
      <c r="AK70" s="22"/>
      <c r="AL70" s="22"/>
      <c r="AM70" s="22"/>
      <c r="AN70" s="22"/>
      <c r="AO70" s="22"/>
      <c r="AP70" s="22"/>
    </row>
    <row r="71" spans="1:42" x14ac:dyDescent="0.3">
      <c r="A71" s="22"/>
      <c r="C71" s="51" t="s">
        <v>0</v>
      </c>
      <c r="D71" s="51"/>
      <c r="E71" s="51"/>
      <c r="G71" s="275" t="s">
        <v>304</v>
      </c>
      <c r="H71" s="139">
        <f>Basis_Marktzins</f>
        <v>4.2299999999999997E-2</v>
      </c>
      <c r="I71" s="51"/>
      <c r="J71" s="51"/>
      <c r="K71" s="48"/>
      <c r="L71" s="48"/>
      <c r="M71" s="48"/>
      <c r="N71" s="48"/>
      <c r="O71" s="48"/>
      <c r="P71" s="48"/>
      <c r="Q71" s="48"/>
      <c r="R71" s="29"/>
      <c r="S71" s="30"/>
      <c r="T71" s="22"/>
      <c r="U71" s="22"/>
      <c r="V71" s="22"/>
      <c r="W71" s="22"/>
      <c r="X71" s="22"/>
      <c r="Y71" s="22"/>
      <c r="Z71" s="22"/>
      <c r="AA71" s="22"/>
      <c r="AB71" s="22"/>
      <c r="AC71" s="22"/>
      <c r="AD71" s="22"/>
      <c r="AE71" s="22"/>
      <c r="AF71" s="22"/>
      <c r="AG71" s="22"/>
      <c r="AH71" s="22"/>
      <c r="AI71" s="22"/>
      <c r="AJ71" s="22"/>
      <c r="AK71" s="22"/>
      <c r="AL71" s="22"/>
      <c r="AM71" s="22"/>
      <c r="AN71" s="22"/>
      <c r="AO71" s="22"/>
      <c r="AP71" s="22"/>
    </row>
    <row r="72" spans="1:42" x14ac:dyDescent="0.3">
      <c r="A72" s="22"/>
      <c r="C72" s="51" t="s">
        <v>150</v>
      </c>
      <c r="D72" s="51"/>
      <c r="E72" s="51"/>
      <c r="G72" s="275" t="s">
        <v>303</v>
      </c>
      <c r="H72" s="139">
        <f>Basis_Inflation</f>
        <v>0.02</v>
      </c>
      <c r="I72" s="51"/>
      <c r="J72" s="51"/>
      <c r="K72" s="48"/>
      <c r="L72" s="48"/>
      <c r="M72" s="48"/>
      <c r="N72" s="48"/>
      <c r="O72" s="48"/>
      <c r="P72" s="48"/>
      <c r="Q72" s="48"/>
      <c r="R72" s="29"/>
      <c r="S72" s="30"/>
      <c r="T72" s="22"/>
      <c r="U72" s="22"/>
      <c r="V72" s="22"/>
      <c r="W72" s="22"/>
      <c r="X72" s="22"/>
      <c r="Y72" s="22"/>
      <c r="Z72" s="22"/>
      <c r="AA72" s="22"/>
      <c r="AB72" s="22"/>
      <c r="AC72" s="22"/>
      <c r="AD72" s="22"/>
      <c r="AE72" s="22"/>
      <c r="AF72" s="22"/>
      <c r="AG72" s="22"/>
      <c r="AH72" s="22"/>
      <c r="AI72" s="22"/>
      <c r="AJ72" s="22"/>
      <c r="AK72" s="22"/>
      <c r="AL72" s="22"/>
      <c r="AM72" s="22"/>
      <c r="AN72" s="22"/>
      <c r="AO72" s="22"/>
      <c r="AP72" s="22"/>
    </row>
    <row r="73" spans="1:42" x14ac:dyDescent="0.3">
      <c r="A73" s="22"/>
      <c r="C73" s="51" t="s">
        <v>307</v>
      </c>
      <c r="D73" s="51"/>
      <c r="E73" s="51"/>
      <c r="G73" s="275" t="s">
        <v>300</v>
      </c>
      <c r="H73" s="139">
        <f>Basis_Realzins</f>
        <v>2.1862745098039212E-2</v>
      </c>
      <c r="I73" s="51"/>
      <c r="J73" s="51"/>
      <c r="K73" s="48"/>
      <c r="L73" s="48"/>
      <c r="M73" s="48"/>
      <c r="N73" s="48"/>
      <c r="O73" s="48"/>
      <c r="P73" s="48"/>
      <c r="Q73" s="48"/>
      <c r="R73" s="29"/>
      <c r="S73" s="30"/>
      <c r="T73" s="22"/>
      <c r="U73" s="22"/>
      <c r="V73" s="22"/>
      <c r="W73" s="22"/>
      <c r="X73" s="22"/>
      <c r="Y73" s="22"/>
      <c r="Z73" s="22"/>
      <c r="AA73" s="22"/>
      <c r="AB73" s="22"/>
      <c r="AC73" s="22"/>
      <c r="AD73" s="22"/>
      <c r="AE73" s="22"/>
      <c r="AF73" s="22"/>
      <c r="AG73" s="22"/>
      <c r="AH73" s="22"/>
      <c r="AI73" s="22"/>
      <c r="AJ73" s="22"/>
      <c r="AK73" s="22"/>
      <c r="AL73" s="22"/>
      <c r="AM73" s="22"/>
      <c r="AN73" s="22"/>
      <c r="AO73" s="22"/>
      <c r="AP73" s="22"/>
    </row>
    <row r="74" spans="1:42" x14ac:dyDescent="0.3">
      <c r="A74" s="22"/>
      <c r="C74" s="51" t="s">
        <v>306</v>
      </c>
      <c r="D74" s="51"/>
      <c r="E74" s="51"/>
      <c r="G74" s="275" t="s">
        <v>301</v>
      </c>
      <c r="H74" s="139">
        <f>Basis_Preisentwicklung_Produkte</f>
        <v>0.02</v>
      </c>
      <c r="I74" s="51"/>
      <c r="J74" s="51"/>
      <c r="K74" s="48"/>
      <c r="L74" s="48"/>
      <c r="M74" s="48"/>
      <c r="N74" s="48"/>
      <c r="O74" s="48"/>
      <c r="P74" s="48"/>
      <c r="Q74" s="48"/>
      <c r="R74" s="29"/>
      <c r="S74" s="30"/>
      <c r="T74" s="22"/>
      <c r="U74" s="22"/>
      <c r="V74" s="22"/>
      <c r="W74" s="22"/>
      <c r="X74" s="22"/>
      <c r="Y74" s="22"/>
      <c r="Z74" s="22"/>
      <c r="AA74" s="22"/>
      <c r="AB74" s="22"/>
      <c r="AC74" s="22"/>
      <c r="AD74" s="22"/>
      <c r="AE74" s="22"/>
      <c r="AF74" s="22"/>
      <c r="AG74" s="22"/>
      <c r="AH74" s="22"/>
      <c r="AI74" s="22"/>
      <c r="AJ74" s="22"/>
      <c r="AK74" s="22"/>
      <c r="AL74" s="22"/>
      <c r="AM74" s="22"/>
      <c r="AN74" s="22"/>
      <c r="AO74" s="22"/>
      <c r="AP74" s="22"/>
    </row>
    <row r="75" spans="1:42" x14ac:dyDescent="0.3">
      <c r="A75" s="22"/>
      <c r="C75" s="51" t="s">
        <v>305</v>
      </c>
      <c r="D75" s="51"/>
      <c r="E75" s="51"/>
      <c r="G75" s="275" t="s">
        <v>302</v>
      </c>
      <c r="H75" s="139">
        <f>Basis_Preisentwicklung_Instandhaltung</f>
        <v>0.02</v>
      </c>
      <c r="I75" s="51"/>
      <c r="J75" s="51"/>
      <c r="K75" s="48"/>
      <c r="L75" s="48"/>
      <c r="M75" s="48"/>
      <c r="N75" s="48"/>
      <c r="O75" s="48"/>
      <c r="P75" s="48"/>
      <c r="Q75" s="48"/>
      <c r="R75" s="29"/>
      <c r="S75" s="30"/>
      <c r="T75" s="22"/>
      <c r="U75" s="22"/>
      <c r="V75" s="22"/>
      <c r="W75" s="22"/>
      <c r="X75" s="22"/>
      <c r="Y75" s="22"/>
      <c r="Z75" s="22"/>
      <c r="AA75" s="22"/>
      <c r="AB75" s="22"/>
      <c r="AC75" s="22"/>
      <c r="AD75" s="22"/>
      <c r="AE75" s="22"/>
      <c r="AF75" s="22"/>
      <c r="AG75" s="22"/>
      <c r="AH75" s="22"/>
      <c r="AI75" s="22"/>
      <c r="AJ75" s="22"/>
      <c r="AK75" s="22"/>
      <c r="AL75" s="22"/>
      <c r="AM75" s="22"/>
      <c r="AN75" s="22"/>
      <c r="AO75" s="22"/>
      <c r="AP75" s="22"/>
    </row>
    <row r="76" spans="1:42" x14ac:dyDescent="0.3">
      <c r="A76" s="22"/>
      <c r="C76" s="51" t="s">
        <v>297</v>
      </c>
      <c r="D76" s="51"/>
      <c r="E76" s="51"/>
      <c r="G76" s="275"/>
      <c r="H76" s="274" t="str">
        <f>(1-Basis_Foerderung)*100&amp;" v.H."</f>
        <v>80 v.H.</v>
      </c>
      <c r="I76" s="51"/>
      <c r="J76" s="51"/>
      <c r="K76" s="48"/>
      <c r="L76" s="48"/>
      <c r="M76" s="48"/>
      <c r="N76" s="48"/>
      <c r="O76" s="48"/>
      <c r="P76" s="48"/>
      <c r="Q76" s="48"/>
      <c r="R76" s="29"/>
      <c r="S76" s="30"/>
      <c r="T76" s="22"/>
      <c r="U76" s="22"/>
      <c r="V76" s="22"/>
      <c r="W76" s="22"/>
      <c r="X76" s="22"/>
      <c r="Y76" s="22"/>
      <c r="Z76" s="22"/>
      <c r="AA76" s="22"/>
      <c r="AB76" s="22"/>
      <c r="AC76" s="22"/>
      <c r="AD76" s="22"/>
      <c r="AE76" s="22"/>
      <c r="AF76" s="22"/>
      <c r="AG76" s="22"/>
      <c r="AH76" s="22"/>
      <c r="AI76" s="22"/>
      <c r="AJ76" s="22"/>
      <c r="AK76" s="22"/>
      <c r="AL76" s="22"/>
      <c r="AM76" s="22"/>
      <c r="AN76" s="22"/>
      <c r="AO76" s="22"/>
      <c r="AP76" s="22"/>
    </row>
    <row r="77" spans="1:42" x14ac:dyDescent="0.3">
      <c r="A77" s="22"/>
      <c r="C77" s="51"/>
      <c r="D77" s="51"/>
      <c r="E77" s="51"/>
      <c r="F77" s="51"/>
      <c r="G77" s="51"/>
      <c r="H77" s="51"/>
      <c r="I77" s="48"/>
      <c r="J77" s="48"/>
      <c r="K77" s="48"/>
      <c r="L77" s="48"/>
      <c r="M77" s="48"/>
      <c r="N77" s="48"/>
      <c r="O77" s="48"/>
      <c r="P77" s="48"/>
      <c r="Q77" s="48"/>
      <c r="R77" s="29"/>
      <c r="S77" s="30"/>
      <c r="T77" s="22"/>
      <c r="U77" s="22"/>
      <c r="V77" s="22"/>
      <c r="W77" s="22"/>
      <c r="X77" s="22"/>
      <c r="Y77" s="22"/>
      <c r="Z77" s="22"/>
      <c r="AA77" s="22"/>
      <c r="AB77" s="22"/>
      <c r="AC77" s="22"/>
      <c r="AD77" s="22"/>
      <c r="AE77" s="22"/>
      <c r="AF77" s="22"/>
      <c r="AG77" s="22"/>
      <c r="AH77" s="22"/>
      <c r="AI77" s="22"/>
      <c r="AJ77" s="22"/>
      <c r="AK77" s="22"/>
      <c r="AL77" s="22"/>
      <c r="AM77" s="22"/>
      <c r="AN77" s="22"/>
      <c r="AO77" s="22"/>
      <c r="AP77" s="22"/>
    </row>
    <row r="78" spans="1:42" x14ac:dyDescent="0.3">
      <c r="A78" s="22"/>
      <c r="C78" s="51" t="s">
        <v>178</v>
      </c>
      <c r="D78" s="51"/>
      <c r="E78" s="51"/>
      <c r="G78" s="51" t="s">
        <v>179</v>
      </c>
      <c r="H78" s="51"/>
      <c r="I78" s="48"/>
      <c r="J78" s="48"/>
      <c r="K78" s="48"/>
      <c r="L78" s="48"/>
      <c r="M78" s="48"/>
      <c r="N78" s="48"/>
      <c r="O78" s="48"/>
      <c r="P78" s="48"/>
      <c r="Q78" s="48"/>
      <c r="R78" s="29"/>
      <c r="S78" s="30"/>
      <c r="T78" s="22"/>
      <c r="U78" s="22"/>
      <c r="V78" s="22"/>
      <c r="W78" s="22"/>
      <c r="X78" s="22"/>
      <c r="Y78" s="22"/>
      <c r="Z78" s="22"/>
      <c r="AA78" s="22"/>
      <c r="AB78" s="22"/>
      <c r="AC78" s="22"/>
      <c r="AD78" s="22"/>
      <c r="AE78" s="22"/>
      <c r="AF78" s="22"/>
      <c r="AG78" s="22"/>
      <c r="AH78" s="22"/>
      <c r="AI78" s="22"/>
      <c r="AJ78" s="22"/>
      <c r="AK78" s="22"/>
      <c r="AL78" s="22"/>
      <c r="AM78" s="22"/>
      <c r="AN78" s="22"/>
      <c r="AO78" s="22"/>
      <c r="AP78" s="22"/>
    </row>
    <row r="79" spans="1:42" x14ac:dyDescent="0.3">
      <c r="A79" s="22"/>
      <c r="C79" s="51" t="s">
        <v>19</v>
      </c>
      <c r="D79" s="51"/>
      <c r="E79" s="51"/>
      <c r="G79" s="51" t="str">
        <f>Auswahl!E2</f>
        <v>CostOpt 2019 (vereinfacht)</v>
      </c>
      <c r="H79" s="51"/>
      <c r="I79" s="48"/>
      <c r="J79" s="48"/>
      <c r="K79" s="48"/>
      <c r="L79" s="48"/>
      <c r="M79" s="48"/>
      <c r="N79" s="48"/>
      <c r="O79" s="48"/>
      <c r="P79" s="48"/>
      <c r="Q79" s="48"/>
      <c r="R79" s="29"/>
      <c r="S79" s="30"/>
      <c r="T79" s="22"/>
      <c r="U79" s="22"/>
      <c r="V79" s="22"/>
      <c r="W79" s="22"/>
      <c r="X79" s="22"/>
      <c r="Y79" s="22"/>
      <c r="Z79" s="22"/>
      <c r="AA79" s="22"/>
      <c r="AB79" s="22"/>
      <c r="AC79" s="22"/>
      <c r="AD79" s="22"/>
      <c r="AE79" s="22"/>
      <c r="AF79" s="22"/>
      <c r="AG79" s="22"/>
      <c r="AH79" s="22"/>
      <c r="AI79" s="22"/>
      <c r="AJ79" s="22"/>
      <c r="AK79" s="22"/>
      <c r="AL79" s="22"/>
      <c r="AM79" s="22"/>
      <c r="AN79" s="22"/>
      <c r="AO79" s="22"/>
      <c r="AP79" s="22"/>
    </row>
    <row r="80" spans="1:42" x14ac:dyDescent="0.3">
      <c r="A80" s="22"/>
      <c r="C80" s="51" t="s">
        <v>173</v>
      </c>
      <c r="D80" s="51"/>
      <c r="E80" s="51"/>
      <c r="G80" s="51" t="str">
        <f>Auswahl!E2</f>
        <v>CostOpt 2019 (vereinfacht)</v>
      </c>
      <c r="H80" s="48"/>
      <c r="I80" s="48"/>
      <c r="J80" s="48"/>
      <c r="K80" s="48"/>
      <c r="L80" s="48"/>
      <c r="M80" s="48"/>
      <c r="N80" s="48"/>
      <c r="O80" s="48"/>
      <c r="P80" s="48"/>
      <c r="Q80" s="48"/>
      <c r="R80" s="29"/>
      <c r="S80" s="30"/>
      <c r="T80" s="22"/>
      <c r="U80" s="22"/>
      <c r="V80" s="22"/>
      <c r="W80" s="22"/>
      <c r="X80" s="22"/>
      <c r="Y80" s="22"/>
      <c r="Z80" s="22"/>
      <c r="AA80" s="22"/>
      <c r="AB80" s="22"/>
      <c r="AC80" s="22"/>
      <c r="AD80" s="22"/>
      <c r="AE80" s="22"/>
      <c r="AF80" s="22"/>
      <c r="AG80" s="22"/>
      <c r="AH80" s="22"/>
      <c r="AI80" s="22"/>
      <c r="AJ80" s="22"/>
      <c r="AK80" s="22"/>
      <c r="AL80" s="22"/>
      <c r="AM80" s="22"/>
      <c r="AN80" s="22"/>
      <c r="AO80" s="22"/>
      <c r="AP80" s="22"/>
    </row>
    <row r="81" spans="1:42" x14ac:dyDescent="0.3">
      <c r="A81" s="22"/>
      <c r="B81" s="22"/>
      <c r="C81" s="29"/>
      <c r="D81" s="29"/>
      <c r="E81" s="29"/>
      <c r="F81" s="29"/>
      <c r="G81" s="29"/>
      <c r="H81" s="29"/>
      <c r="I81" s="29"/>
      <c r="J81" s="29"/>
      <c r="K81" s="29"/>
      <c r="L81" s="29"/>
      <c r="M81" s="29"/>
      <c r="N81" s="29"/>
      <c r="O81" s="29"/>
      <c r="P81" s="57"/>
      <c r="Q81" s="24"/>
      <c r="R81" s="24"/>
      <c r="S81" s="30"/>
      <c r="T81" s="24"/>
      <c r="U81" s="22"/>
      <c r="V81" s="22"/>
      <c r="W81" s="22"/>
      <c r="X81" s="22"/>
      <c r="Y81" s="22"/>
      <c r="Z81" s="22"/>
      <c r="AA81" s="22"/>
      <c r="AB81" s="22"/>
      <c r="AC81" s="22"/>
      <c r="AD81" s="22"/>
      <c r="AE81" s="22"/>
      <c r="AF81" s="22"/>
      <c r="AG81" s="22"/>
      <c r="AH81" s="22"/>
      <c r="AI81" s="22"/>
      <c r="AJ81" s="22"/>
      <c r="AK81" s="22"/>
      <c r="AL81" s="22"/>
      <c r="AM81" s="22"/>
      <c r="AN81" s="22"/>
      <c r="AO81" s="22"/>
      <c r="AP81" s="22"/>
    </row>
    <row r="82" spans="1:42" x14ac:dyDescent="0.3">
      <c r="A82" s="22"/>
      <c r="B82" s="22"/>
      <c r="C82" s="24"/>
      <c r="D82" s="24"/>
      <c r="E82" s="31"/>
      <c r="F82" s="24"/>
      <c r="G82" s="24"/>
      <c r="H82" s="24"/>
      <c r="I82" s="24"/>
      <c r="J82" s="24"/>
      <c r="K82" s="31"/>
      <c r="L82" s="24"/>
      <c r="M82" s="24"/>
      <c r="N82" s="24"/>
      <c r="O82" s="24"/>
      <c r="P82" s="24"/>
      <c r="Q82" s="24"/>
      <c r="R82" s="24"/>
      <c r="S82" s="30"/>
      <c r="T82" s="24"/>
      <c r="U82" s="22"/>
      <c r="V82" s="22"/>
      <c r="W82" s="22"/>
      <c r="X82" s="22"/>
      <c r="Y82" s="22"/>
      <c r="Z82" s="22"/>
      <c r="AA82" s="22"/>
      <c r="AB82" s="22"/>
      <c r="AC82" s="22"/>
      <c r="AD82" s="22"/>
      <c r="AE82" s="22"/>
      <c r="AF82" s="22"/>
      <c r="AG82" s="22"/>
      <c r="AH82" s="22"/>
      <c r="AI82" s="22"/>
      <c r="AJ82" s="22"/>
      <c r="AK82" s="22"/>
      <c r="AL82" s="22"/>
      <c r="AM82" s="22"/>
      <c r="AN82" s="22"/>
      <c r="AO82" s="22"/>
      <c r="AP82" s="22"/>
    </row>
    <row r="83" spans="1:42" x14ac:dyDescent="0.3">
      <c r="A83" s="22"/>
      <c r="B83" s="22"/>
      <c r="C83" s="24"/>
      <c r="D83" s="24"/>
      <c r="E83" s="31"/>
      <c r="F83" s="24"/>
      <c r="G83" s="24"/>
      <c r="H83" s="24"/>
      <c r="I83" s="24"/>
      <c r="J83" s="24"/>
      <c r="K83" s="31"/>
      <c r="L83" s="24"/>
      <c r="M83" s="24"/>
      <c r="N83" s="24"/>
      <c r="O83" s="24"/>
      <c r="P83" s="24"/>
      <c r="Q83" s="24"/>
      <c r="R83" s="24"/>
      <c r="S83" s="30"/>
      <c r="T83" s="24"/>
      <c r="U83" s="22"/>
      <c r="V83" s="22"/>
      <c r="W83" s="22"/>
      <c r="X83" s="22"/>
      <c r="Y83" s="22"/>
      <c r="Z83" s="22"/>
      <c r="AA83" s="22"/>
      <c r="AB83" s="22"/>
      <c r="AC83" s="22"/>
      <c r="AD83" s="22"/>
      <c r="AE83" s="22"/>
      <c r="AF83" s="22"/>
      <c r="AG83" s="22"/>
      <c r="AH83" s="22"/>
      <c r="AI83" s="22"/>
      <c r="AJ83" s="22"/>
      <c r="AK83" s="22"/>
      <c r="AL83" s="22"/>
      <c r="AM83" s="22"/>
      <c r="AN83" s="22"/>
      <c r="AO83" s="22"/>
      <c r="AP83" s="22"/>
    </row>
    <row r="84" spans="1:42" x14ac:dyDescent="0.3">
      <c r="A84" s="22"/>
      <c r="B84" s="22"/>
      <c r="C84" s="24"/>
      <c r="D84" s="24"/>
      <c r="E84" s="31"/>
      <c r="F84" s="24"/>
      <c r="G84" s="24"/>
      <c r="H84" s="24"/>
      <c r="I84" s="24"/>
      <c r="J84" s="24"/>
      <c r="K84" s="31"/>
      <c r="L84" s="24"/>
      <c r="M84" s="24"/>
      <c r="N84" s="24"/>
      <c r="O84" s="24"/>
      <c r="P84" s="24"/>
      <c r="Q84" s="24"/>
      <c r="R84" s="24"/>
      <c r="S84" s="30"/>
      <c r="T84" s="24"/>
      <c r="U84" s="22"/>
      <c r="V84" s="22"/>
      <c r="W84" s="22"/>
      <c r="X84" s="22"/>
      <c r="Y84" s="22"/>
      <c r="Z84" s="22"/>
      <c r="AA84" s="22"/>
      <c r="AB84" s="22"/>
      <c r="AC84" s="22"/>
      <c r="AD84" s="22"/>
      <c r="AE84" s="22"/>
      <c r="AF84" s="22"/>
      <c r="AG84" s="22"/>
      <c r="AH84" s="22"/>
      <c r="AI84" s="22"/>
      <c r="AJ84" s="22"/>
      <c r="AK84" s="22"/>
      <c r="AL84" s="22"/>
      <c r="AM84" s="22"/>
      <c r="AN84" s="22"/>
      <c r="AO84" s="22"/>
      <c r="AP84" s="22"/>
    </row>
    <row r="85" spans="1:42" x14ac:dyDescent="0.3">
      <c r="A85" s="22"/>
      <c r="B85" s="22"/>
      <c r="C85" s="24"/>
      <c r="D85" s="24"/>
      <c r="E85" s="31"/>
      <c r="F85" s="24"/>
      <c r="G85" s="24"/>
      <c r="H85" s="24"/>
      <c r="I85" s="24"/>
      <c r="J85" s="24"/>
      <c r="K85" s="31"/>
      <c r="L85" s="24"/>
      <c r="M85" s="24"/>
      <c r="N85" s="24"/>
      <c r="O85" s="24"/>
      <c r="P85" s="24"/>
      <c r="Q85" s="24"/>
      <c r="R85" s="24"/>
      <c r="S85" s="30"/>
      <c r="T85" s="24"/>
      <c r="U85" s="22"/>
      <c r="V85" s="22"/>
      <c r="W85" s="22"/>
      <c r="X85" s="22"/>
      <c r="Y85" s="22"/>
      <c r="Z85" s="22"/>
      <c r="AA85" s="22"/>
      <c r="AB85" s="22"/>
      <c r="AC85" s="22"/>
      <c r="AD85" s="22"/>
      <c r="AE85" s="22"/>
      <c r="AF85" s="22"/>
      <c r="AG85" s="22"/>
      <c r="AH85" s="22"/>
      <c r="AI85" s="22"/>
      <c r="AJ85" s="22"/>
      <c r="AK85" s="22"/>
      <c r="AL85" s="22"/>
      <c r="AM85" s="22"/>
      <c r="AN85" s="22"/>
      <c r="AO85" s="22"/>
      <c r="AP85" s="22"/>
    </row>
    <row r="86" spans="1:42" x14ac:dyDescent="0.3">
      <c r="A86" s="22"/>
      <c r="B86" s="22"/>
      <c r="C86" s="24"/>
      <c r="D86" s="31"/>
      <c r="E86" s="24"/>
      <c r="F86" s="24"/>
      <c r="G86" s="24"/>
      <c r="H86" s="24"/>
      <c r="I86" s="24"/>
      <c r="J86" s="31"/>
      <c r="K86" s="24"/>
      <c r="L86" s="24"/>
      <c r="M86" s="24"/>
      <c r="N86" s="24"/>
      <c r="O86" s="24"/>
      <c r="P86" s="31"/>
      <c r="Q86" s="24"/>
      <c r="R86" s="24"/>
      <c r="S86" s="30"/>
      <c r="T86" s="24"/>
      <c r="U86" s="22"/>
      <c r="V86" s="22"/>
      <c r="W86" s="22"/>
      <c r="X86" s="22"/>
      <c r="Y86" s="22"/>
      <c r="Z86" s="22"/>
      <c r="AA86" s="22"/>
      <c r="AB86" s="22"/>
      <c r="AC86" s="22"/>
      <c r="AD86" s="22"/>
      <c r="AE86" s="22"/>
      <c r="AF86" s="22"/>
      <c r="AG86" s="22"/>
      <c r="AH86" s="22"/>
      <c r="AI86" s="22"/>
      <c r="AJ86" s="22"/>
      <c r="AK86" s="22"/>
      <c r="AL86" s="22"/>
      <c r="AM86" s="22"/>
      <c r="AN86" s="22"/>
      <c r="AO86" s="22"/>
      <c r="AP86" s="22"/>
    </row>
    <row r="87" spans="1:42" x14ac:dyDescent="0.3">
      <c r="A87" s="22"/>
      <c r="B87" s="22"/>
      <c r="C87" s="24"/>
      <c r="D87" s="31"/>
      <c r="E87" s="24"/>
      <c r="F87" s="24"/>
      <c r="G87" s="24"/>
      <c r="H87" s="24"/>
      <c r="I87" s="24"/>
      <c r="J87" s="31"/>
      <c r="K87" s="24"/>
      <c r="L87" s="24"/>
      <c r="M87" s="24"/>
      <c r="N87" s="24"/>
      <c r="O87" s="24"/>
      <c r="P87" s="31"/>
      <c r="Q87" s="24"/>
      <c r="R87" s="24"/>
      <c r="S87" s="30"/>
      <c r="T87" s="24"/>
      <c r="U87" s="22"/>
      <c r="V87" s="22"/>
      <c r="W87" s="22"/>
      <c r="X87" s="22"/>
      <c r="Y87" s="22"/>
      <c r="Z87" s="22"/>
      <c r="AA87" s="22"/>
      <c r="AB87" s="22"/>
      <c r="AC87" s="22"/>
      <c r="AD87" s="22"/>
      <c r="AE87" s="22"/>
      <c r="AF87" s="22"/>
      <c r="AG87" s="22"/>
      <c r="AH87" s="22"/>
      <c r="AI87" s="22"/>
      <c r="AJ87" s="22"/>
      <c r="AK87" s="22"/>
      <c r="AL87" s="22"/>
      <c r="AM87" s="22"/>
      <c r="AN87" s="22"/>
      <c r="AO87" s="22"/>
      <c r="AP87" s="22"/>
    </row>
    <row r="88" spans="1:42" x14ac:dyDescent="0.3">
      <c r="A88" s="22"/>
      <c r="B88" s="22"/>
      <c r="C88" s="24"/>
      <c r="D88" s="31"/>
      <c r="E88" s="24"/>
      <c r="F88" s="24"/>
      <c r="G88" s="24"/>
      <c r="H88" s="24"/>
      <c r="I88" s="24"/>
      <c r="J88" s="31"/>
      <c r="K88" s="24"/>
      <c r="L88" s="24"/>
      <c r="M88" s="24"/>
      <c r="N88" s="24"/>
      <c r="O88" s="24"/>
      <c r="P88" s="31"/>
      <c r="Q88" s="24"/>
      <c r="R88" s="24"/>
      <c r="S88" s="30"/>
      <c r="T88" s="24"/>
      <c r="U88" s="22"/>
      <c r="V88" s="22"/>
      <c r="W88" s="22"/>
      <c r="X88" s="22"/>
      <c r="Y88" s="22"/>
      <c r="Z88" s="22"/>
      <c r="AA88" s="22"/>
      <c r="AB88" s="22"/>
      <c r="AC88" s="22"/>
      <c r="AD88" s="22"/>
      <c r="AE88" s="22"/>
      <c r="AF88" s="22"/>
      <c r="AG88" s="22"/>
      <c r="AH88" s="22"/>
      <c r="AI88" s="22"/>
      <c r="AJ88" s="22"/>
      <c r="AK88" s="22"/>
      <c r="AL88" s="22"/>
      <c r="AM88" s="22"/>
      <c r="AN88" s="22"/>
      <c r="AO88" s="22"/>
      <c r="AP88" s="22"/>
    </row>
    <row r="89" spans="1:42" x14ac:dyDescent="0.3">
      <c r="A89" s="22"/>
      <c r="B89" s="22"/>
      <c r="C89" s="24"/>
      <c r="D89" s="31"/>
      <c r="E89" s="24"/>
      <c r="F89" s="24"/>
      <c r="G89" s="24"/>
      <c r="H89" s="24"/>
      <c r="I89" s="24"/>
      <c r="J89" s="31"/>
      <c r="K89" s="24"/>
      <c r="L89" s="24"/>
      <c r="M89" s="24"/>
      <c r="N89" s="24"/>
      <c r="O89" s="24"/>
      <c r="P89" s="31"/>
      <c r="Q89" s="24"/>
      <c r="R89" s="24"/>
      <c r="S89" s="30"/>
      <c r="T89" s="24"/>
      <c r="U89" s="22"/>
      <c r="V89" s="22"/>
      <c r="W89" s="22"/>
      <c r="X89" s="22"/>
      <c r="Y89" s="22"/>
      <c r="Z89" s="22"/>
      <c r="AA89" s="22"/>
      <c r="AB89" s="22"/>
      <c r="AC89" s="22"/>
      <c r="AD89" s="22"/>
      <c r="AE89" s="22"/>
      <c r="AF89" s="22"/>
      <c r="AG89" s="22"/>
      <c r="AH89" s="22"/>
      <c r="AI89" s="22"/>
      <c r="AJ89" s="22"/>
      <c r="AK89" s="22"/>
      <c r="AL89" s="22"/>
      <c r="AM89" s="22"/>
      <c r="AN89" s="22"/>
      <c r="AO89" s="22"/>
      <c r="AP89" s="22"/>
    </row>
    <row r="90" spans="1:42" x14ac:dyDescent="0.3">
      <c r="A90" s="22"/>
      <c r="B90" s="22"/>
      <c r="C90" s="24"/>
      <c r="D90" s="31"/>
      <c r="E90" s="24"/>
      <c r="F90" s="24"/>
      <c r="G90" s="24"/>
      <c r="H90" s="24"/>
      <c r="I90" s="24"/>
      <c r="J90" s="31"/>
      <c r="K90" s="24"/>
      <c r="L90" s="24"/>
      <c r="M90" s="24"/>
      <c r="N90" s="24"/>
      <c r="O90" s="24"/>
      <c r="P90" s="31"/>
      <c r="Q90" s="24"/>
      <c r="R90" s="24"/>
      <c r="S90" s="30"/>
      <c r="T90" s="24"/>
      <c r="U90" s="22"/>
      <c r="V90" s="22"/>
      <c r="W90" s="22"/>
      <c r="X90" s="22"/>
      <c r="Y90" s="22"/>
      <c r="Z90" s="22"/>
      <c r="AA90" s="22"/>
      <c r="AB90" s="22"/>
      <c r="AC90" s="22"/>
      <c r="AD90" s="22"/>
      <c r="AE90" s="22"/>
      <c r="AF90" s="22"/>
      <c r="AG90" s="22"/>
      <c r="AH90" s="22"/>
      <c r="AI90" s="22"/>
      <c r="AJ90" s="22"/>
      <c r="AK90" s="22"/>
      <c r="AL90" s="22"/>
      <c r="AM90" s="22"/>
      <c r="AN90" s="22"/>
      <c r="AO90" s="22"/>
      <c r="AP90" s="22"/>
    </row>
    <row r="91" spans="1:42" x14ac:dyDescent="0.3">
      <c r="A91" s="22"/>
      <c r="B91" s="22"/>
      <c r="C91" s="24"/>
      <c r="D91" s="31"/>
      <c r="E91" s="24"/>
      <c r="F91" s="24"/>
      <c r="G91" s="24"/>
      <c r="H91" s="24"/>
      <c r="I91" s="24"/>
      <c r="J91" s="31"/>
      <c r="K91" s="24"/>
      <c r="L91" s="24"/>
      <c r="M91" s="24"/>
      <c r="N91" s="24"/>
      <c r="O91" s="24"/>
      <c r="P91" s="31"/>
      <c r="Q91" s="24"/>
      <c r="R91" s="24"/>
      <c r="S91" s="30"/>
      <c r="T91" s="24"/>
      <c r="U91" s="22"/>
      <c r="V91" s="22"/>
      <c r="W91" s="22"/>
      <c r="X91" s="22"/>
      <c r="Y91" s="22"/>
      <c r="Z91" s="22"/>
      <c r="AA91" s="22"/>
      <c r="AB91" s="22"/>
      <c r="AC91" s="22"/>
      <c r="AD91" s="22"/>
      <c r="AE91" s="22"/>
      <c r="AF91" s="22"/>
      <c r="AG91" s="22"/>
      <c r="AH91" s="22"/>
      <c r="AI91" s="22"/>
      <c r="AJ91" s="22"/>
      <c r="AK91" s="22"/>
      <c r="AL91" s="22"/>
      <c r="AM91" s="22"/>
      <c r="AN91" s="22"/>
      <c r="AO91" s="22"/>
      <c r="AP91" s="22"/>
    </row>
    <row r="92" spans="1:42" x14ac:dyDescent="0.3">
      <c r="A92" s="22"/>
      <c r="B92" s="22"/>
      <c r="C92" s="24"/>
      <c r="D92" s="31"/>
      <c r="E92" s="24"/>
      <c r="F92" s="24"/>
      <c r="G92" s="24"/>
      <c r="H92" s="24"/>
      <c r="I92" s="24"/>
      <c r="J92" s="31"/>
      <c r="K92" s="24"/>
      <c r="L92" s="24"/>
      <c r="M92" s="24"/>
      <c r="N92" s="24"/>
      <c r="O92" s="24"/>
      <c r="P92" s="31"/>
      <c r="Q92" s="24"/>
      <c r="R92" s="24"/>
      <c r="S92" s="30"/>
      <c r="T92" s="24"/>
      <c r="U92" s="22"/>
      <c r="V92" s="22"/>
      <c r="W92" s="22"/>
      <c r="X92" s="22"/>
      <c r="Y92" s="22"/>
      <c r="Z92" s="22"/>
      <c r="AA92" s="22"/>
      <c r="AB92" s="22"/>
      <c r="AC92" s="22"/>
      <c r="AD92" s="22"/>
      <c r="AE92" s="22"/>
      <c r="AF92" s="22"/>
      <c r="AG92" s="22"/>
      <c r="AH92" s="22"/>
      <c r="AI92" s="22"/>
      <c r="AJ92" s="22"/>
      <c r="AK92" s="22"/>
      <c r="AL92" s="22"/>
      <c r="AM92" s="22"/>
      <c r="AN92" s="22"/>
      <c r="AO92" s="22"/>
      <c r="AP92" s="22"/>
    </row>
    <row r="93" spans="1:42" x14ac:dyDescent="0.3">
      <c r="A93" s="22"/>
      <c r="B93" s="22"/>
      <c r="C93" s="24"/>
      <c r="D93" s="31"/>
      <c r="E93" s="24"/>
      <c r="F93" s="24"/>
      <c r="G93" s="24"/>
      <c r="H93" s="24"/>
      <c r="I93" s="24"/>
      <c r="J93" s="31"/>
      <c r="K93" s="24"/>
      <c r="L93" s="24"/>
      <c r="M93" s="24"/>
      <c r="N93" s="24"/>
      <c r="O93" s="24"/>
      <c r="P93" s="31"/>
      <c r="Q93" s="24"/>
      <c r="R93" s="24"/>
      <c r="S93" s="30"/>
      <c r="T93" s="24"/>
      <c r="U93" s="22"/>
      <c r="V93" s="22"/>
      <c r="W93" s="22"/>
      <c r="X93" s="22"/>
      <c r="Y93" s="22"/>
      <c r="Z93" s="22"/>
      <c r="AA93" s="22"/>
      <c r="AB93" s="22"/>
      <c r="AC93" s="22"/>
      <c r="AD93" s="22"/>
      <c r="AE93" s="22"/>
      <c r="AF93" s="22"/>
      <c r="AG93" s="22"/>
      <c r="AH93" s="22"/>
      <c r="AI93" s="22"/>
      <c r="AJ93" s="22"/>
      <c r="AK93" s="22"/>
      <c r="AL93" s="22"/>
      <c r="AM93" s="22"/>
      <c r="AN93" s="22"/>
      <c r="AO93" s="22"/>
      <c r="AP93" s="22"/>
    </row>
    <row r="94" spans="1:42" x14ac:dyDescent="0.3">
      <c r="A94" s="22"/>
      <c r="B94" s="22"/>
      <c r="C94" s="24"/>
      <c r="D94" s="31"/>
      <c r="E94" s="24"/>
      <c r="F94" s="24"/>
      <c r="G94" s="24"/>
      <c r="H94" s="24"/>
      <c r="I94" s="24"/>
      <c r="J94" s="31"/>
      <c r="K94" s="24"/>
      <c r="L94" s="24"/>
      <c r="M94" s="24"/>
      <c r="N94" s="24"/>
      <c r="O94" s="24"/>
      <c r="P94" s="31"/>
      <c r="Q94" s="24"/>
      <c r="R94" s="24"/>
      <c r="S94" s="30"/>
      <c r="T94" s="24"/>
      <c r="U94" s="22"/>
      <c r="V94" s="22"/>
      <c r="W94" s="22"/>
      <c r="X94" s="22"/>
      <c r="Y94" s="22"/>
      <c r="Z94" s="22"/>
      <c r="AA94" s="22"/>
      <c r="AB94" s="22"/>
      <c r="AC94" s="22"/>
      <c r="AD94" s="22"/>
      <c r="AE94" s="22"/>
      <c r="AF94" s="22"/>
      <c r="AG94" s="22"/>
      <c r="AH94" s="22"/>
      <c r="AI94" s="22"/>
      <c r="AJ94" s="22"/>
      <c r="AK94" s="22"/>
      <c r="AL94" s="22"/>
      <c r="AM94" s="22"/>
      <c r="AN94" s="22"/>
      <c r="AO94" s="22"/>
      <c r="AP94" s="22"/>
    </row>
    <row r="95" spans="1:42" x14ac:dyDescent="0.3">
      <c r="A95" s="22"/>
      <c r="B95" s="22"/>
      <c r="C95" s="24"/>
      <c r="D95" s="31"/>
      <c r="E95" s="24"/>
      <c r="F95" s="24"/>
      <c r="G95" s="24"/>
      <c r="H95" s="24"/>
      <c r="I95" s="24"/>
      <c r="J95" s="31"/>
      <c r="K95" s="24"/>
      <c r="L95" s="24"/>
      <c r="M95" s="24"/>
      <c r="N95" s="24"/>
      <c r="O95" s="24"/>
      <c r="P95" s="31"/>
      <c r="Q95" s="24"/>
      <c r="R95" s="24"/>
      <c r="S95" s="30"/>
      <c r="T95" s="24"/>
      <c r="U95" s="22"/>
      <c r="V95" s="22"/>
      <c r="W95" s="22"/>
      <c r="X95" s="22"/>
      <c r="Y95" s="22"/>
      <c r="Z95" s="22"/>
      <c r="AA95" s="22"/>
      <c r="AB95" s="22"/>
      <c r="AC95" s="22"/>
      <c r="AD95" s="22"/>
      <c r="AE95" s="22"/>
      <c r="AF95" s="22"/>
      <c r="AG95" s="22"/>
      <c r="AH95" s="22"/>
      <c r="AI95" s="22"/>
      <c r="AJ95" s="22"/>
      <c r="AK95" s="22"/>
      <c r="AL95" s="22"/>
      <c r="AM95" s="22"/>
      <c r="AN95" s="22"/>
      <c r="AO95" s="22"/>
      <c r="AP95" s="22"/>
    </row>
    <row r="96" spans="1:42" x14ac:dyDescent="0.3">
      <c r="A96" s="22"/>
      <c r="B96" s="22"/>
      <c r="C96" s="24"/>
      <c r="D96" s="31"/>
      <c r="E96" s="24"/>
      <c r="F96" s="24"/>
      <c r="G96" s="24"/>
      <c r="H96" s="24"/>
      <c r="I96" s="24"/>
      <c r="J96" s="31"/>
      <c r="K96" s="24"/>
      <c r="L96" s="24"/>
      <c r="M96" s="24"/>
      <c r="N96" s="24"/>
      <c r="O96" s="24"/>
      <c r="P96" s="31"/>
      <c r="Q96" s="24"/>
      <c r="R96" s="24"/>
      <c r="S96" s="30"/>
      <c r="T96" s="24"/>
      <c r="U96" s="22"/>
      <c r="V96" s="22"/>
      <c r="W96" s="22"/>
      <c r="X96" s="22"/>
      <c r="Y96" s="22"/>
      <c r="Z96" s="22"/>
      <c r="AA96" s="22"/>
      <c r="AB96" s="22"/>
      <c r="AC96" s="22"/>
      <c r="AD96" s="22"/>
      <c r="AE96" s="22"/>
      <c r="AF96" s="22"/>
      <c r="AG96" s="22"/>
      <c r="AH96" s="22"/>
      <c r="AI96" s="22"/>
      <c r="AJ96" s="22"/>
      <c r="AK96" s="22"/>
      <c r="AL96" s="22"/>
      <c r="AM96" s="22"/>
      <c r="AN96" s="22"/>
      <c r="AO96" s="22"/>
      <c r="AP96" s="22"/>
    </row>
    <row r="97" spans="1:42" x14ac:dyDescent="0.3">
      <c r="A97" s="22"/>
      <c r="B97" s="22"/>
      <c r="C97" s="22"/>
      <c r="D97" s="23"/>
      <c r="E97" s="22"/>
      <c r="F97" s="22"/>
      <c r="G97" s="22"/>
      <c r="H97" s="22"/>
      <c r="I97" s="22"/>
      <c r="J97" s="23"/>
      <c r="K97" s="22"/>
      <c r="L97" s="22"/>
      <c r="M97" s="22"/>
      <c r="N97" s="22"/>
      <c r="O97" s="22"/>
      <c r="P97" s="23"/>
      <c r="Q97" s="22"/>
      <c r="R97" s="22"/>
      <c r="S97" s="30"/>
      <c r="T97" s="22"/>
      <c r="U97" s="22"/>
      <c r="V97" s="22"/>
      <c r="W97" s="22"/>
      <c r="X97" s="22"/>
      <c r="Y97" s="22"/>
      <c r="Z97" s="22"/>
      <c r="AA97" s="22"/>
      <c r="AB97" s="22"/>
      <c r="AC97" s="22"/>
      <c r="AD97" s="22"/>
      <c r="AE97" s="22"/>
      <c r="AF97" s="22"/>
      <c r="AG97" s="22"/>
      <c r="AH97" s="22"/>
      <c r="AI97" s="22"/>
      <c r="AJ97" s="22"/>
      <c r="AK97" s="22"/>
      <c r="AL97" s="22"/>
      <c r="AM97" s="22"/>
      <c r="AN97" s="22"/>
      <c r="AO97" s="22"/>
      <c r="AP97" s="22"/>
    </row>
    <row r="98" spans="1:42" x14ac:dyDescent="0.3">
      <c r="A98" s="22"/>
      <c r="B98" s="22"/>
      <c r="C98" s="22"/>
      <c r="D98" s="23"/>
      <c r="E98" s="22"/>
      <c r="F98" s="22"/>
      <c r="G98" s="22"/>
      <c r="H98" s="22"/>
      <c r="I98" s="22"/>
      <c r="J98" s="23"/>
      <c r="K98" s="22"/>
      <c r="L98" s="22"/>
      <c r="M98" s="22"/>
      <c r="N98" s="22"/>
      <c r="O98" s="22"/>
      <c r="P98" s="23"/>
      <c r="Q98" s="22"/>
      <c r="R98" s="22"/>
      <c r="S98" s="30"/>
      <c r="T98" s="22"/>
      <c r="U98" s="22"/>
      <c r="V98" s="22"/>
      <c r="W98" s="22"/>
      <c r="X98" s="22"/>
      <c r="Y98" s="22"/>
      <c r="Z98" s="22"/>
      <c r="AA98" s="22"/>
      <c r="AB98" s="22"/>
      <c r="AC98" s="22"/>
      <c r="AD98" s="22"/>
      <c r="AE98" s="22"/>
      <c r="AF98" s="22"/>
      <c r="AG98" s="22"/>
      <c r="AH98" s="22"/>
      <c r="AI98" s="22"/>
      <c r="AJ98" s="22"/>
      <c r="AK98" s="22"/>
      <c r="AL98" s="22"/>
      <c r="AM98" s="22"/>
      <c r="AN98" s="22"/>
      <c r="AO98" s="22"/>
      <c r="AP98" s="22"/>
    </row>
    <row r="99" spans="1:42" x14ac:dyDescent="0.3">
      <c r="A99" s="22"/>
      <c r="B99" s="22"/>
      <c r="C99" s="22"/>
      <c r="D99" s="23"/>
      <c r="E99" s="22"/>
      <c r="F99" s="22"/>
      <c r="G99" s="22"/>
      <c r="H99" s="22"/>
      <c r="I99" s="22"/>
      <c r="J99" s="23"/>
      <c r="K99" s="22"/>
      <c r="L99" s="22"/>
      <c r="M99" s="22"/>
      <c r="N99" s="22"/>
      <c r="O99" s="22"/>
      <c r="P99" s="23"/>
      <c r="Q99" s="22"/>
      <c r="R99" s="22"/>
      <c r="S99" s="30"/>
      <c r="T99" s="22"/>
      <c r="U99" s="22"/>
      <c r="V99" s="22"/>
      <c r="W99" s="22"/>
      <c r="X99" s="22"/>
      <c r="Y99" s="22"/>
      <c r="Z99" s="22"/>
      <c r="AA99" s="22"/>
      <c r="AB99" s="22"/>
      <c r="AC99" s="22"/>
      <c r="AD99" s="22"/>
      <c r="AE99" s="22"/>
      <c r="AF99" s="22"/>
      <c r="AG99" s="22"/>
      <c r="AH99" s="22"/>
      <c r="AI99" s="22"/>
      <c r="AJ99" s="22"/>
      <c r="AK99" s="22"/>
      <c r="AL99" s="22"/>
      <c r="AM99" s="22"/>
      <c r="AN99" s="22"/>
      <c r="AO99" s="22"/>
      <c r="AP99" s="22"/>
    </row>
    <row r="100" spans="1:42" x14ac:dyDescent="0.3">
      <c r="A100" s="22"/>
      <c r="B100" s="22"/>
      <c r="C100" s="22"/>
      <c r="D100" s="23"/>
      <c r="E100" s="22"/>
      <c r="F100" s="22"/>
      <c r="G100" s="22"/>
      <c r="H100" s="22"/>
      <c r="I100" s="22"/>
      <c r="J100" s="23"/>
      <c r="K100" s="22"/>
      <c r="L100" s="22"/>
      <c r="M100" s="22"/>
      <c r="N100" s="22"/>
      <c r="O100" s="22"/>
      <c r="P100" s="23"/>
      <c r="Q100" s="22"/>
      <c r="R100" s="22"/>
      <c r="S100" s="3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row>
    <row r="101" spans="1:42" x14ac:dyDescent="0.3">
      <c r="A101" s="22"/>
      <c r="B101" s="22"/>
      <c r="C101" s="22"/>
      <c r="D101" s="23"/>
      <c r="E101" s="22"/>
      <c r="F101" s="22"/>
      <c r="G101" s="22"/>
      <c r="H101" s="22"/>
      <c r="I101" s="22"/>
      <c r="J101" s="23"/>
      <c r="K101" s="22"/>
      <c r="L101" s="22"/>
      <c r="M101" s="22"/>
      <c r="N101" s="22"/>
      <c r="O101" s="22"/>
      <c r="P101" s="23"/>
      <c r="Q101" s="22"/>
      <c r="R101" s="22"/>
      <c r="S101" s="3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row>
    <row r="102" spans="1:42" x14ac:dyDescent="0.3">
      <c r="A102" s="22"/>
      <c r="B102" s="22"/>
      <c r="C102" s="22"/>
      <c r="D102" s="23"/>
      <c r="E102" s="22"/>
      <c r="F102" s="22"/>
      <c r="G102" s="22"/>
      <c r="H102" s="22"/>
      <c r="I102" s="22"/>
      <c r="J102" s="23"/>
      <c r="K102" s="22"/>
      <c r="L102" s="22"/>
      <c r="M102" s="22"/>
      <c r="N102" s="22"/>
      <c r="O102" s="22"/>
      <c r="P102" s="23"/>
      <c r="Q102" s="22"/>
      <c r="R102" s="22"/>
      <c r="S102" s="3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row>
    <row r="103" spans="1:42" x14ac:dyDescent="0.3">
      <c r="A103" s="22"/>
      <c r="B103" s="22"/>
      <c r="C103" s="22"/>
      <c r="D103" s="23"/>
      <c r="E103" s="22"/>
      <c r="F103" s="22"/>
      <c r="G103" s="22"/>
      <c r="H103" s="22"/>
      <c r="I103" s="22"/>
      <c r="J103" s="23"/>
      <c r="K103" s="22"/>
      <c r="L103" s="22"/>
      <c r="M103" s="22"/>
      <c r="N103" s="22"/>
      <c r="O103" s="22"/>
      <c r="P103" s="23"/>
      <c r="Q103" s="22"/>
      <c r="R103" s="22"/>
      <c r="S103" s="3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row>
    <row r="104" spans="1:42" x14ac:dyDescent="0.3">
      <c r="A104" s="22"/>
      <c r="B104" s="22"/>
      <c r="C104" s="22"/>
      <c r="D104" s="23"/>
      <c r="E104" s="22"/>
      <c r="F104" s="22"/>
      <c r="G104" s="22"/>
      <c r="H104" s="22"/>
      <c r="I104" s="22"/>
      <c r="J104" s="23"/>
      <c r="K104" s="22"/>
      <c r="L104" s="22"/>
      <c r="M104" s="22"/>
      <c r="N104" s="22"/>
      <c r="O104" s="22"/>
      <c r="P104" s="23"/>
      <c r="Q104" s="22"/>
      <c r="R104" s="22"/>
      <c r="S104" s="3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row>
    <row r="105" spans="1:42" x14ac:dyDescent="0.3">
      <c r="A105" s="22"/>
      <c r="B105" s="22"/>
      <c r="C105" s="22"/>
      <c r="D105" s="23"/>
      <c r="E105" s="22"/>
      <c r="F105" s="22"/>
      <c r="G105" s="22"/>
      <c r="H105" s="22"/>
      <c r="I105" s="22"/>
      <c r="J105" s="23"/>
      <c r="K105" s="22"/>
      <c r="L105" s="22"/>
      <c r="M105" s="22"/>
      <c r="N105" s="22"/>
      <c r="O105" s="22"/>
      <c r="P105" s="23"/>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row>
    <row r="106" spans="1:42" x14ac:dyDescent="0.3">
      <c r="A106" s="22"/>
      <c r="B106" s="22"/>
      <c r="C106" s="22"/>
      <c r="D106" s="23"/>
      <c r="E106" s="22"/>
      <c r="F106" s="22"/>
      <c r="G106" s="22"/>
      <c r="H106" s="22"/>
      <c r="I106" s="22"/>
      <c r="J106" s="23"/>
      <c r="K106" s="22"/>
      <c r="L106" s="22"/>
      <c r="M106" s="22"/>
      <c r="N106" s="22"/>
      <c r="O106" s="22"/>
      <c r="P106" s="23"/>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row>
    <row r="107" spans="1:42" x14ac:dyDescent="0.3">
      <c r="A107" s="22"/>
      <c r="B107" s="22"/>
      <c r="C107" s="22"/>
      <c r="D107" s="23"/>
      <c r="E107" s="22"/>
      <c r="F107" s="22"/>
      <c r="G107" s="22"/>
      <c r="H107" s="22"/>
      <c r="I107" s="22"/>
      <c r="J107" s="23"/>
      <c r="K107" s="22"/>
      <c r="L107" s="22"/>
      <c r="M107" s="22"/>
      <c r="N107" s="22"/>
      <c r="O107" s="22"/>
      <c r="P107" s="23"/>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row>
    <row r="108" spans="1:42" x14ac:dyDescent="0.3">
      <c r="A108" s="22"/>
      <c r="B108" s="22"/>
      <c r="C108" s="22"/>
      <c r="D108" s="23"/>
      <c r="E108" s="22"/>
      <c r="F108" s="22"/>
      <c r="G108" s="22"/>
      <c r="H108" s="22"/>
      <c r="I108" s="22"/>
      <c r="J108" s="23"/>
      <c r="K108" s="22"/>
      <c r="L108" s="22"/>
      <c r="M108" s="22"/>
      <c r="N108" s="22"/>
      <c r="O108" s="22"/>
      <c r="P108" s="23"/>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row>
    <row r="109" spans="1:42" x14ac:dyDescent="0.3">
      <c r="A109" s="22"/>
      <c r="B109" s="22"/>
      <c r="C109" s="22"/>
      <c r="D109" s="23"/>
      <c r="E109" s="22"/>
      <c r="F109" s="22"/>
      <c r="G109" s="22"/>
      <c r="H109" s="22"/>
      <c r="I109" s="22"/>
      <c r="J109" s="23"/>
      <c r="K109" s="22"/>
      <c r="L109" s="22"/>
      <c r="M109" s="22"/>
      <c r="N109" s="22"/>
      <c r="O109" s="22"/>
      <c r="P109" s="23"/>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row>
    <row r="110" spans="1:42" x14ac:dyDescent="0.3">
      <c r="A110" s="22"/>
      <c r="B110" s="22"/>
      <c r="C110" s="22"/>
      <c r="D110" s="23"/>
      <c r="E110" s="22"/>
      <c r="F110" s="22"/>
      <c r="G110" s="22"/>
      <c r="H110" s="22"/>
      <c r="I110" s="22"/>
      <c r="J110" s="23"/>
      <c r="K110" s="22"/>
      <c r="L110" s="22"/>
      <c r="M110" s="22"/>
      <c r="N110" s="22"/>
      <c r="O110" s="22"/>
      <c r="P110" s="23"/>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row>
    <row r="111" spans="1:42" x14ac:dyDescent="0.3">
      <c r="A111" s="22"/>
      <c r="B111" s="22"/>
      <c r="C111" s="22"/>
      <c r="D111" s="23"/>
      <c r="E111" s="22"/>
      <c r="F111" s="22"/>
      <c r="G111" s="22"/>
      <c r="H111" s="22"/>
      <c r="I111" s="22"/>
      <c r="J111" s="23"/>
      <c r="K111" s="22"/>
      <c r="L111" s="22"/>
      <c r="M111" s="22"/>
      <c r="N111" s="22"/>
      <c r="O111" s="22"/>
      <c r="P111" s="23"/>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row>
    <row r="112" spans="1:42" x14ac:dyDescent="0.3">
      <c r="A112" s="22"/>
      <c r="B112" s="22"/>
      <c r="C112" s="22"/>
      <c r="D112" s="23"/>
      <c r="E112" s="22"/>
      <c r="F112" s="22"/>
      <c r="G112" s="22"/>
      <c r="H112" s="22"/>
      <c r="I112" s="22"/>
      <c r="J112" s="23"/>
      <c r="K112" s="22"/>
      <c r="L112" s="22"/>
      <c r="M112" s="22"/>
      <c r="N112" s="22"/>
      <c r="O112" s="22"/>
      <c r="P112" s="23"/>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row>
    <row r="113" spans="1:42" x14ac:dyDescent="0.3">
      <c r="A113" s="22"/>
      <c r="B113" s="22"/>
      <c r="C113" s="22"/>
      <c r="D113" s="23"/>
      <c r="E113" s="22"/>
      <c r="F113" s="22"/>
      <c r="G113" s="22"/>
      <c r="H113" s="22"/>
      <c r="I113" s="22"/>
      <c r="J113" s="23"/>
      <c r="K113" s="22"/>
      <c r="L113" s="22"/>
      <c r="M113" s="22"/>
      <c r="N113" s="22"/>
      <c r="O113" s="22"/>
      <c r="P113" s="23"/>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row>
    <row r="114" spans="1:42" x14ac:dyDescent="0.3">
      <c r="A114" s="22"/>
      <c r="B114" s="22"/>
      <c r="C114" s="22"/>
      <c r="D114" s="23"/>
      <c r="E114" s="22"/>
      <c r="F114" s="22"/>
      <c r="G114" s="22"/>
      <c r="H114" s="22"/>
      <c r="I114" s="22"/>
      <c r="J114" s="23"/>
      <c r="K114" s="22"/>
      <c r="L114" s="22"/>
      <c r="M114" s="22"/>
      <c r="N114" s="22"/>
      <c r="O114" s="22"/>
      <c r="P114" s="23"/>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row>
    <row r="115" spans="1:42" x14ac:dyDescent="0.3">
      <c r="A115" s="22"/>
      <c r="B115" s="22"/>
      <c r="C115" s="22"/>
      <c r="D115" s="23"/>
      <c r="E115" s="22"/>
      <c r="F115" s="22"/>
      <c r="G115" s="22"/>
      <c r="H115" s="22"/>
      <c r="I115" s="22"/>
      <c r="J115" s="23"/>
      <c r="K115" s="22"/>
      <c r="L115" s="22"/>
      <c r="M115" s="22"/>
      <c r="N115" s="22"/>
      <c r="O115" s="22"/>
      <c r="P115" s="23"/>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row>
    <row r="116" spans="1:42" x14ac:dyDescent="0.3">
      <c r="A116" s="22"/>
      <c r="B116" s="22"/>
      <c r="C116" s="22"/>
      <c r="D116" s="23"/>
      <c r="E116" s="22"/>
      <c r="F116" s="22"/>
      <c r="G116" s="22"/>
      <c r="H116" s="22"/>
      <c r="I116" s="22"/>
      <c r="J116" s="23"/>
      <c r="K116" s="22"/>
      <c r="L116" s="22"/>
      <c r="M116" s="22"/>
      <c r="N116" s="22"/>
      <c r="O116" s="22"/>
      <c r="P116" s="23"/>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row>
    <row r="117" spans="1:42" x14ac:dyDescent="0.3">
      <c r="A117" s="22"/>
      <c r="B117" s="22"/>
      <c r="C117" s="22"/>
      <c r="D117" s="23"/>
      <c r="E117" s="22"/>
      <c r="F117" s="22"/>
      <c r="G117" s="22"/>
      <c r="H117" s="22"/>
      <c r="I117" s="22"/>
      <c r="J117" s="23"/>
      <c r="K117" s="22"/>
      <c r="L117" s="22"/>
      <c r="M117" s="22"/>
      <c r="N117" s="22"/>
      <c r="O117" s="22"/>
      <c r="P117" s="23"/>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row>
    <row r="118" spans="1:42" x14ac:dyDescent="0.3">
      <c r="A118" s="22"/>
      <c r="B118" s="22"/>
      <c r="C118" s="22"/>
      <c r="D118" s="23"/>
      <c r="E118" s="22"/>
      <c r="F118" s="22"/>
      <c r="G118" s="22"/>
      <c r="H118" s="22"/>
      <c r="I118" s="22"/>
      <c r="J118" s="23"/>
      <c r="K118" s="22"/>
      <c r="L118" s="22"/>
      <c r="M118" s="22"/>
      <c r="N118" s="22"/>
      <c r="O118" s="22"/>
      <c r="P118" s="23"/>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row>
    <row r="119" spans="1:42" x14ac:dyDescent="0.3">
      <c r="A119" s="22"/>
      <c r="B119" s="22"/>
      <c r="C119" s="22"/>
      <c r="D119" s="23"/>
      <c r="E119" s="22"/>
      <c r="F119" s="22"/>
      <c r="G119" s="22"/>
      <c r="H119" s="22"/>
      <c r="I119" s="22"/>
      <c r="J119" s="23"/>
      <c r="K119" s="22"/>
      <c r="L119" s="22"/>
      <c r="M119" s="22"/>
      <c r="N119" s="22"/>
      <c r="O119" s="22"/>
      <c r="P119" s="23"/>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row>
    <row r="120" spans="1:42" x14ac:dyDescent="0.3">
      <c r="A120" s="22"/>
      <c r="B120" s="22"/>
      <c r="C120" s="22"/>
      <c r="D120" s="23"/>
      <c r="E120" s="22"/>
      <c r="F120" s="22"/>
      <c r="G120" s="22"/>
      <c r="H120" s="22"/>
      <c r="I120" s="22"/>
      <c r="J120" s="23"/>
      <c r="K120" s="22"/>
      <c r="L120" s="22"/>
      <c r="M120" s="22"/>
      <c r="N120" s="22"/>
      <c r="O120" s="22"/>
      <c r="P120" s="23"/>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row>
    <row r="121" spans="1:42" x14ac:dyDescent="0.3">
      <c r="A121" s="22"/>
      <c r="B121" s="22"/>
      <c r="C121" s="22"/>
      <c r="D121" s="23"/>
      <c r="E121" s="22"/>
      <c r="F121" s="22"/>
      <c r="G121" s="22"/>
      <c r="H121" s="22"/>
      <c r="I121" s="22"/>
      <c r="J121" s="23"/>
      <c r="K121" s="22"/>
      <c r="L121" s="22"/>
      <c r="M121" s="22"/>
      <c r="N121" s="22"/>
      <c r="O121" s="22"/>
      <c r="P121" s="23"/>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row>
    <row r="122" spans="1:42" x14ac:dyDescent="0.3">
      <c r="A122" s="22"/>
      <c r="B122" s="22"/>
      <c r="C122" s="22"/>
      <c r="D122" s="23"/>
      <c r="E122" s="22"/>
      <c r="F122" s="22"/>
      <c r="G122" s="22"/>
      <c r="H122" s="22"/>
      <c r="I122" s="22"/>
      <c r="J122" s="23"/>
      <c r="K122" s="22"/>
      <c r="L122" s="22"/>
      <c r="M122" s="22"/>
      <c r="N122" s="22"/>
      <c r="O122" s="22"/>
      <c r="P122" s="23"/>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row>
    <row r="123" spans="1:42" x14ac:dyDescent="0.3">
      <c r="A123" s="22"/>
      <c r="B123" s="22"/>
      <c r="C123" s="22"/>
      <c r="D123" s="23"/>
      <c r="E123" s="22"/>
      <c r="F123" s="22"/>
      <c r="G123" s="22"/>
      <c r="H123" s="22"/>
      <c r="I123" s="22"/>
      <c r="J123" s="23"/>
      <c r="K123" s="22"/>
      <c r="L123" s="22"/>
      <c r="M123" s="22"/>
      <c r="N123" s="22"/>
      <c r="O123" s="22"/>
      <c r="P123" s="23"/>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row>
    <row r="124" spans="1:42" x14ac:dyDescent="0.3">
      <c r="A124" s="22"/>
      <c r="B124" s="22"/>
      <c r="C124" s="22"/>
      <c r="D124" s="23"/>
      <c r="E124" s="22"/>
      <c r="F124" s="22"/>
      <c r="G124" s="22"/>
      <c r="H124" s="22"/>
      <c r="I124" s="22"/>
      <c r="J124" s="23"/>
      <c r="K124" s="22"/>
      <c r="L124" s="22"/>
      <c r="M124" s="22"/>
      <c r="N124" s="22"/>
      <c r="O124" s="22"/>
      <c r="P124" s="23"/>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row>
    <row r="125" spans="1:42" x14ac:dyDescent="0.3">
      <c r="A125" s="22"/>
      <c r="B125" s="22"/>
      <c r="C125" s="22"/>
      <c r="D125" s="23"/>
      <c r="E125" s="22"/>
      <c r="F125" s="22"/>
      <c r="G125" s="22"/>
      <c r="H125" s="22"/>
      <c r="I125" s="22"/>
      <c r="J125" s="23"/>
      <c r="K125" s="22"/>
      <c r="L125" s="22"/>
      <c r="M125" s="22"/>
      <c r="N125" s="22"/>
      <c r="O125" s="22"/>
      <c r="P125" s="23"/>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row>
    <row r="126" spans="1:42" x14ac:dyDescent="0.3">
      <c r="A126" s="22"/>
      <c r="B126" s="22"/>
      <c r="C126" s="22"/>
      <c r="D126" s="23"/>
      <c r="E126" s="22"/>
      <c r="F126" s="22"/>
      <c r="G126" s="22"/>
      <c r="H126" s="22"/>
      <c r="I126" s="22"/>
      <c r="J126" s="23"/>
      <c r="K126" s="22"/>
      <c r="L126" s="22"/>
      <c r="M126" s="22"/>
      <c r="N126" s="22"/>
      <c r="O126" s="22"/>
      <c r="P126" s="23"/>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row>
    <row r="127" spans="1:42" x14ac:dyDescent="0.3">
      <c r="A127" s="22"/>
      <c r="B127" s="22"/>
      <c r="C127" s="22"/>
      <c r="D127" s="23"/>
      <c r="E127" s="22"/>
      <c r="F127" s="22"/>
      <c r="G127" s="22"/>
      <c r="H127" s="22"/>
      <c r="I127" s="22"/>
      <c r="J127" s="23"/>
      <c r="K127" s="22"/>
      <c r="L127" s="22"/>
      <c r="M127" s="22"/>
      <c r="N127" s="22"/>
      <c r="O127" s="22"/>
      <c r="P127" s="23"/>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row>
    <row r="128" spans="1:42" x14ac:dyDescent="0.3">
      <c r="A128" s="22"/>
      <c r="B128" s="22"/>
      <c r="C128" s="22"/>
      <c r="D128" s="23"/>
      <c r="E128" s="22"/>
      <c r="F128" s="22"/>
      <c r="G128" s="22"/>
      <c r="H128" s="22"/>
      <c r="I128" s="22"/>
      <c r="J128" s="23"/>
      <c r="K128" s="22"/>
      <c r="L128" s="22"/>
      <c r="M128" s="22"/>
      <c r="N128" s="22"/>
      <c r="O128" s="22"/>
      <c r="P128" s="23"/>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row>
    <row r="129" spans="1:42" x14ac:dyDescent="0.3">
      <c r="A129" s="22"/>
      <c r="B129" s="22"/>
      <c r="C129" s="22"/>
      <c r="D129" s="23"/>
      <c r="E129" s="22"/>
      <c r="F129" s="22"/>
      <c r="G129" s="22"/>
      <c r="H129" s="22"/>
      <c r="I129" s="22"/>
      <c r="J129" s="23"/>
      <c r="K129" s="22"/>
      <c r="L129" s="22"/>
      <c r="M129" s="22"/>
      <c r="N129" s="22"/>
      <c r="O129" s="22"/>
      <c r="P129" s="23"/>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row>
    <row r="130" spans="1:42" x14ac:dyDescent="0.3">
      <c r="A130" s="22"/>
      <c r="B130" s="22"/>
      <c r="C130" s="22"/>
      <c r="D130" s="23"/>
      <c r="E130" s="22"/>
      <c r="F130" s="22"/>
      <c r="G130" s="22"/>
      <c r="H130" s="22"/>
      <c r="I130" s="22"/>
      <c r="J130" s="23"/>
      <c r="K130" s="22"/>
      <c r="L130" s="22"/>
      <c r="M130" s="22"/>
      <c r="N130" s="22"/>
      <c r="O130" s="22"/>
      <c r="P130" s="23"/>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row>
    <row r="131" spans="1:42" x14ac:dyDescent="0.3">
      <c r="A131" s="22"/>
      <c r="B131" s="22"/>
      <c r="C131" s="22"/>
      <c r="D131" s="23"/>
      <c r="E131" s="22"/>
      <c r="F131" s="22"/>
      <c r="G131" s="22"/>
      <c r="H131" s="22"/>
      <c r="I131" s="22"/>
      <c r="J131" s="23"/>
      <c r="K131" s="22"/>
      <c r="L131" s="22"/>
      <c r="M131" s="22"/>
      <c r="N131" s="22"/>
      <c r="O131" s="22"/>
      <c r="P131" s="23"/>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row>
    <row r="132" spans="1:42" x14ac:dyDescent="0.3">
      <c r="A132" s="22"/>
      <c r="B132" s="22"/>
      <c r="C132" s="22"/>
      <c r="D132" s="23"/>
      <c r="E132" s="22"/>
      <c r="F132" s="22"/>
      <c r="G132" s="22"/>
      <c r="H132" s="22"/>
      <c r="I132" s="22"/>
      <c r="J132" s="23"/>
      <c r="K132" s="22"/>
      <c r="L132" s="22"/>
      <c r="M132" s="22"/>
      <c r="N132" s="22"/>
      <c r="O132" s="22"/>
      <c r="P132" s="23"/>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row>
    <row r="133" spans="1:42" x14ac:dyDescent="0.3">
      <c r="A133" s="22"/>
      <c r="B133" s="22"/>
      <c r="C133" s="22"/>
      <c r="D133" s="23"/>
      <c r="E133" s="22"/>
      <c r="F133" s="22"/>
      <c r="G133" s="22"/>
      <c r="H133" s="22"/>
      <c r="I133" s="22"/>
      <c r="J133" s="23"/>
      <c r="K133" s="22"/>
      <c r="L133" s="22"/>
      <c r="M133" s="22"/>
      <c r="N133" s="22"/>
      <c r="O133" s="22"/>
      <c r="P133" s="23"/>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row>
    <row r="134" spans="1:42" x14ac:dyDescent="0.3">
      <c r="A134" s="22"/>
      <c r="B134" s="22"/>
      <c r="C134" s="22"/>
      <c r="D134" s="23"/>
      <c r="E134" s="22"/>
      <c r="F134" s="22"/>
      <c r="G134" s="22"/>
      <c r="H134" s="22"/>
      <c r="I134" s="22"/>
      <c r="J134" s="23"/>
      <c r="K134" s="22"/>
      <c r="L134" s="22"/>
      <c r="M134" s="22"/>
      <c r="N134" s="22"/>
      <c r="O134" s="22"/>
      <c r="P134" s="23"/>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row>
    <row r="135" spans="1:42" x14ac:dyDescent="0.3">
      <c r="A135" s="22"/>
      <c r="B135" s="22"/>
      <c r="C135" s="22"/>
      <c r="D135" s="23"/>
      <c r="E135" s="22"/>
      <c r="F135" s="22"/>
      <c r="G135" s="22"/>
      <c r="H135" s="22"/>
      <c r="I135" s="22"/>
      <c r="J135" s="23"/>
      <c r="K135" s="22"/>
      <c r="L135" s="22"/>
      <c r="M135" s="22"/>
      <c r="N135" s="22"/>
      <c r="O135" s="22"/>
      <c r="P135" s="23"/>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row>
    <row r="136" spans="1:42" x14ac:dyDescent="0.3">
      <c r="A136" s="22"/>
      <c r="B136" s="22"/>
      <c r="C136" s="22"/>
      <c r="D136" s="23"/>
      <c r="E136" s="22"/>
      <c r="F136" s="22"/>
      <c r="G136" s="22"/>
      <c r="H136" s="22"/>
      <c r="I136" s="22"/>
      <c r="J136" s="23"/>
      <c r="K136" s="22"/>
      <c r="L136" s="22"/>
      <c r="M136" s="22"/>
      <c r="N136" s="22"/>
      <c r="O136" s="22"/>
      <c r="P136" s="23"/>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row>
    <row r="137" spans="1:42" x14ac:dyDescent="0.3">
      <c r="A137" s="22"/>
      <c r="B137" s="22"/>
      <c r="C137" s="22"/>
      <c r="D137" s="23"/>
      <c r="E137" s="22"/>
      <c r="F137" s="22"/>
      <c r="G137" s="22"/>
      <c r="H137" s="22"/>
      <c r="I137" s="22"/>
      <c r="J137" s="23"/>
      <c r="K137" s="22"/>
      <c r="L137" s="22"/>
      <c r="M137" s="22"/>
      <c r="N137" s="22"/>
      <c r="O137" s="22"/>
      <c r="P137" s="23"/>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row>
    <row r="138" spans="1:42" x14ac:dyDescent="0.3">
      <c r="A138" s="22"/>
      <c r="B138" s="22"/>
      <c r="C138" s="22"/>
      <c r="D138" s="23"/>
      <c r="E138" s="22"/>
      <c r="F138" s="22"/>
      <c r="G138" s="22"/>
      <c r="H138" s="22"/>
      <c r="I138" s="22"/>
      <c r="J138" s="23"/>
      <c r="K138" s="22"/>
      <c r="L138" s="22"/>
      <c r="M138" s="22"/>
      <c r="N138" s="22"/>
      <c r="O138" s="22"/>
      <c r="P138" s="23"/>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row>
    <row r="139" spans="1:42" x14ac:dyDescent="0.3">
      <c r="A139" s="22"/>
      <c r="B139" s="22"/>
      <c r="C139" s="22"/>
      <c r="D139" s="23"/>
      <c r="E139" s="22"/>
      <c r="F139" s="22"/>
      <c r="G139" s="22"/>
      <c r="H139" s="22"/>
      <c r="I139" s="22"/>
      <c r="J139" s="23"/>
      <c r="K139" s="22"/>
      <c r="L139" s="22"/>
      <c r="M139" s="22"/>
      <c r="N139" s="22"/>
      <c r="O139" s="22"/>
      <c r="P139" s="23"/>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row>
    <row r="140" spans="1:42" x14ac:dyDescent="0.3">
      <c r="A140" s="22"/>
      <c r="B140" s="22"/>
      <c r="C140" s="22"/>
      <c r="D140" s="23"/>
      <c r="E140" s="22"/>
      <c r="F140" s="22"/>
      <c r="G140" s="22"/>
      <c r="H140" s="22"/>
      <c r="I140" s="22"/>
      <c r="J140" s="23"/>
      <c r="K140" s="22"/>
      <c r="L140" s="22"/>
      <c r="M140" s="22"/>
      <c r="N140" s="22"/>
      <c r="O140" s="22"/>
      <c r="P140" s="23"/>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row>
    <row r="141" spans="1:42" x14ac:dyDescent="0.3">
      <c r="A141" s="22"/>
      <c r="B141" s="22"/>
      <c r="C141" s="22"/>
      <c r="D141" s="23"/>
      <c r="E141" s="22"/>
      <c r="F141" s="22"/>
      <c r="G141" s="22"/>
      <c r="H141" s="22"/>
      <c r="I141" s="22"/>
      <c r="J141" s="23"/>
      <c r="K141" s="22"/>
      <c r="L141" s="22"/>
      <c r="M141" s="22"/>
      <c r="N141" s="22"/>
      <c r="O141" s="22"/>
      <c r="P141" s="23"/>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row>
    <row r="142" spans="1:42" x14ac:dyDescent="0.3">
      <c r="A142" s="22"/>
      <c r="B142" s="22"/>
      <c r="C142" s="22"/>
      <c r="D142" s="23"/>
      <c r="E142" s="22"/>
      <c r="F142" s="22"/>
      <c r="G142" s="22"/>
      <c r="H142" s="22"/>
      <c r="I142" s="22"/>
      <c r="J142" s="23"/>
      <c r="K142" s="22"/>
      <c r="L142" s="22"/>
      <c r="M142" s="22"/>
      <c r="N142" s="22"/>
      <c r="O142" s="22"/>
      <c r="P142" s="23"/>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row>
    <row r="143" spans="1:42" x14ac:dyDescent="0.3">
      <c r="A143" s="22"/>
      <c r="B143" s="22"/>
      <c r="C143" s="22"/>
      <c r="D143" s="23"/>
      <c r="E143" s="22"/>
      <c r="F143" s="22"/>
      <c r="G143" s="22"/>
      <c r="H143" s="22"/>
      <c r="I143" s="22"/>
      <c r="J143" s="23"/>
      <c r="K143" s="22"/>
      <c r="L143" s="22"/>
      <c r="M143" s="22"/>
      <c r="N143" s="22"/>
      <c r="O143" s="22"/>
      <c r="P143" s="23"/>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row>
    <row r="144" spans="1:42" x14ac:dyDescent="0.3">
      <c r="A144" s="22"/>
      <c r="B144" s="22"/>
      <c r="C144" s="22"/>
      <c r="D144" s="23"/>
      <c r="E144" s="22"/>
      <c r="F144" s="22"/>
      <c r="G144" s="22"/>
      <c r="H144" s="22"/>
      <c r="I144" s="22"/>
      <c r="J144" s="23"/>
      <c r="K144" s="22"/>
      <c r="L144" s="22"/>
      <c r="M144" s="22"/>
      <c r="N144" s="22"/>
      <c r="O144" s="22"/>
      <c r="P144" s="23"/>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row>
    <row r="145" spans="1:42" x14ac:dyDescent="0.3">
      <c r="A145" s="22"/>
      <c r="B145" s="22"/>
      <c r="C145" s="22"/>
      <c r="D145" s="23"/>
      <c r="E145" s="22"/>
      <c r="F145" s="22"/>
      <c r="G145" s="22"/>
      <c r="H145" s="22"/>
      <c r="I145" s="22"/>
      <c r="J145" s="23"/>
      <c r="K145" s="22"/>
      <c r="L145" s="22"/>
      <c r="M145" s="22"/>
      <c r="N145" s="22"/>
      <c r="O145" s="22"/>
      <c r="P145" s="23"/>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row>
    <row r="146" spans="1:42" x14ac:dyDescent="0.3">
      <c r="A146" s="22"/>
      <c r="B146" s="22"/>
      <c r="C146" s="22"/>
      <c r="D146" s="23"/>
      <c r="E146" s="22"/>
      <c r="F146" s="22"/>
      <c r="G146" s="22"/>
      <c r="H146" s="22"/>
      <c r="I146" s="22"/>
      <c r="J146" s="23"/>
      <c r="K146" s="22"/>
      <c r="L146" s="22"/>
      <c r="M146" s="22"/>
      <c r="N146" s="22"/>
      <c r="O146" s="22"/>
      <c r="P146" s="23"/>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row>
    <row r="147" spans="1:42" x14ac:dyDescent="0.3">
      <c r="A147" s="22"/>
      <c r="B147" s="22"/>
      <c r="C147" s="22"/>
      <c r="D147" s="23"/>
      <c r="E147" s="22"/>
      <c r="F147" s="22"/>
      <c r="G147" s="22"/>
      <c r="H147" s="22"/>
      <c r="I147" s="22"/>
      <c r="J147" s="23"/>
      <c r="K147" s="22"/>
      <c r="L147" s="22"/>
      <c r="M147" s="22"/>
      <c r="N147" s="22"/>
      <c r="O147" s="22"/>
      <c r="P147" s="23"/>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row>
    <row r="148" spans="1:42" x14ac:dyDescent="0.3">
      <c r="A148" s="22"/>
      <c r="B148" s="22"/>
      <c r="C148" s="22"/>
      <c r="D148" s="23"/>
      <c r="E148" s="22"/>
      <c r="F148" s="22"/>
      <c r="G148" s="22"/>
      <c r="H148" s="22"/>
      <c r="I148" s="22"/>
      <c r="J148" s="23"/>
      <c r="K148" s="22"/>
      <c r="L148" s="22"/>
      <c r="M148" s="22"/>
      <c r="N148" s="22"/>
      <c r="O148" s="22"/>
      <c r="P148" s="23"/>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row>
    <row r="149" spans="1:42" x14ac:dyDescent="0.3">
      <c r="A149" s="22"/>
      <c r="B149" s="22"/>
      <c r="C149" s="22"/>
      <c r="D149" s="23"/>
      <c r="E149" s="22"/>
      <c r="F149" s="22"/>
      <c r="G149" s="22"/>
      <c r="H149" s="22"/>
      <c r="I149" s="22"/>
      <c r="J149" s="23"/>
      <c r="K149" s="22"/>
      <c r="L149" s="22"/>
      <c r="M149" s="22"/>
      <c r="N149" s="22"/>
      <c r="O149" s="22"/>
      <c r="P149" s="23"/>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row>
    <row r="150" spans="1:42" x14ac:dyDescent="0.3">
      <c r="A150" s="22"/>
      <c r="B150" s="22"/>
      <c r="C150" s="22"/>
      <c r="D150" s="23"/>
      <c r="E150" s="22"/>
      <c r="F150" s="22"/>
      <c r="G150" s="22"/>
      <c r="H150" s="22"/>
      <c r="I150" s="22"/>
      <c r="J150" s="23"/>
      <c r="K150" s="22"/>
      <c r="L150" s="22"/>
      <c r="M150" s="22"/>
      <c r="N150" s="22"/>
      <c r="O150" s="22"/>
      <c r="P150" s="23"/>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row>
    <row r="151" spans="1:42" x14ac:dyDescent="0.3">
      <c r="A151" s="22"/>
      <c r="B151" s="22"/>
      <c r="C151" s="22"/>
      <c r="D151" s="23"/>
      <c r="E151" s="22"/>
      <c r="F151" s="22"/>
      <c r="G151" s="22"/>
      <c r="H151" s="22"/>
      <c r="I151" s="22"/>
      <c r="J151" s="23"/>
      <c r="K151" s="22"/>
      <c r="L151" s="22"/>
      <c r="M151" s="22"/>
      <c r="N151" s="22"/>
      <c r="O151" s="22"/>
      <c r="P151" s="23"/>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row>
    <row r="152" spans="1:42" x14ac:dyDescent="0.3">
      <c r="A152" s="22"/>
      <c r="B152" s="22"/>
      <c r="C152" s="22"/>
      <c r="D152" s="23"/>
      <c r="E152" s="22"/>
      <c r="F152" s="22"/>
      <c r="G152" s="22"/>
      <c r="H152" s="22"/>
      <c r="I152" s="22"/>
      <c r="J152" s="23"/>
      <c r="K152" s="22"/>
      <c r="L152" s="22"/>
      <c r="M152" s="22"/>
      <c r="N152" s="22"/>
      <c r="O152" s="22"/>
      <c r="P152" s="23"/>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row>
    <row r="153" spans="1:42" x14ac:dyDescent="0.3">
      <c r="A153" s="22"/>
      <c r="B153" s="22"/>
      <c r="C153" s="22"/>
      <c r="D153" s="23"/>
      <c r="E153" s="22"/>
      <c r="F153" s="22"/>
      <c r="G153" s="22"/>
      <c r="H153" s="22"/>
      <c r="I153" s="22"/>
      <c r="J153" s="23"/>
      <c r="K153" s="22"/>
      <c r="L153" s="22"/>
      <c r="M153" s="22"/>
      <c r="N153" s="22"/>
      <c r="O153" s="22"/>
      <c r="P153" s="23"/>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row>
    <row r="154" spans="1:42" x14ac:dyDescent="0.3">
      <c r="A154" s="22"/>
      <c r="B154" s="22"/>
      <c r="C154" s="22"/>
      <c r="D154" s="23"/>
      <c r="E154" s="22"/>
      <c r="F154" s="22"/>
      <c r="G154" s="22"/>
      <c r="H154" s="22"/>
      <c r="I154" s="22"/>
      <c r="J154" s="23"/>
      <c r="K154" s="22"/>
      <c r="L154" s="22"/>
      <c r="M154" s="22"/>
      <c r="N154" s="22"/>
      <c r="O154" s="22"/>
      <c r="P154" s="23"/>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row>
    <row r="155" spans="1:42" x14ac:dyDescent="0.3">
      <c r="A155" s="22"/>
      <c r="B155" s="22"/>
      <c r="C155" s="22"/>
      <c r="D155" s="23"/>
      <c r="E155" s="22"/>
      <c r="F155" s="22"/>
      <c r="G155" s="22"/>
      <c r="H155" s="22"/>
      <c r="I155" s="22"/>
      <c r="J155" s="23"/>
      <c r="K155" s="22"/>
      <c r="L155" s="22"/>
      <c r="M155" s="22"/>
      <c r="N155" s="22"/>
      <c r="O155" s="22"/>
      <c r="P155" s="23"/>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row>
    <row r="156" spans="1:42" x14ac:dyDescent="0.3">
      <c r="A156" s="22"/>
      <c r="B156" s="22"/>
      <c r="C156" s="22"/>
      <c r="D156" s="23"/>
      <c r="E156" s="22"/>
      <c r="F156" s="22"/>
      <c r="G156" s="22"/>
      <c r="H156" s="22"/>
      <c r="I156" s="22"/>
      <c r="J156" s="23"/>
      <c r="K156" s="22"/>
      <c r="L156" s="22"/>
      <c r="M156" s="22"/>
      <c r="N156" s="22"/>
      <c r="O156" s="22"/>
      <c r="P156" s="23"/>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row>
    <row r="157" spans="1:42" x14ac:dyDescent="0.3">
      <c r="A157" s="22"/>
      <c r="B157" s="22"/>
      <c r="C157" s="22"/>
      <c r="D157" s="23"/>
      <c r="E157" s="22"/>
      <c r="F157" s="22"/>
      <c r="G157" s="22"/>
      <c r="H157" s="22"/>
      <c r="I157" s="22"/>
      <c r="J157" s="23"/>
      <c r="K157" s="22"/>
      <c r="L157" s="22"/>
      <c r="M157" s="22"/>
      <c r="N157" s="22"/>
      <c r="O157" s="22"/>
      <c r="P157" s="23"/>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row>
    <row r="158" spans="1:42" x14ac:dyDescent="0.3">
      <c r="A158" s="22"/>
      <c r="B158" s="22"/>
      <c r="C158" s="22"/>
      <c r="D158" s="23"/>
      <c r="E158" s="22"/>
      <c r="F158" s="22"/>
      <c r="G158" s="22"/>
      <c r="H158" s="22"/>
      <c r="I158" s="22"/>
      <c r="J158" s="23"/>
      <c r="K158" s="22"/>
      <c r="L158" s="22"/>
      <c r="M158" s="22"/>
      <c r="N158" s="22"/>
      <c r="O158" s="22"/>
      <c r="P158" s="23"/>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row>
    <row r="159" spans="1:42" x14ac:dyDescent="0.3">
      <c r="A159" s="22"/>
      <c r="B159" s="22"/>
      <c r="C159" s="22"/>
      <c r="D159" s="23"/>
      <c r="E159" s="22"/>
      <c r="F159" s="22"/>
      <c r="G159" s="22"/>
      <c r="H159" s="22"/>
      <c r="I159" s="22"/>
      <c r="J159" s="23"/>
      <c r="K159" s="22"/>
      <c r="L159" s="22"/>
      <c r="M159" s="22"/>
      <c r="N159" s="22"/>
      <c r="O159" s="22"/>
      <c r="P159" s="23"/>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row>
    <row r="160" spans="1:42" x14ac:dyDescent="0.3">
      <c r="A160" s="22"/>
      <c r="B160" s="22"/>
      <c r="C160" s="22"/>
      <c r="D160" s="23"/>
      <c r="E160" s="22"/>
      <c r="F160" s="22"/>
      <c r="G160" s="22"/>
      <c r="H160" s="22"/>
      <c r="I160" s="22"/>
      <c r="J160" s="23"/>
      <c r="K160" s="22"/>
      <c r="L160" s="22"/>
      <c r="M160" s="22"/>
      <c r="N160" s="22"/>
      <c r="O160" s="22"/>
      <c r="P160" s="23"/>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row>
    <row r="161" spans="1:42" x14ac:dyDescent="0.3">
      <c r="A161" s="22"/>
      <c r="B161" s="22"/>
      <c r="C161" s="22"/>
      <c r="D161" s="23"/>
      <c r="E161" s="22"/>
      <c r="F161" s="22"/>
      <c r="G161" s="22"/>
      <c r="H161" s="22"/>
      <c r="I161" s="22"/>
      <c r="J161" s="23"/>
      <c r="K161" s="22"/>
      <c r="L161" s="22"/>
      <c r="M161" s="22"/>
      <c r="N161" s="22"/>
      <c r="O161" s="22"/>
      <c r="P161" s="23"/>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row>
    <row r="162" spans="1:42" x14ac:dyDescent="0.3">
      <c r="A162" s="22"/>
      <c r="B162" s="22"/>
      <c r="C162" s="22"/>
      <c r="D162" s="23"/>
      <c r="E162" s="22"/>
      <c r="F162" s="22"/>
      <c r="G162" s="22"/>
      <c r="H162" s="22"/>
      <c r="I162" s="22"/>
      <c r="J162" s="23"/>
      <c r="K162" s="22"/>
      <c r="L162" s="22"/>
      <c r="M162" s="22"/>
      <c r="N162" s="22"/>
      <c r="O162" s="22"/>
      <c r="P162" s="23"/>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row>
    <row r="163" spans="1:42" x14ac:dyDescent="0.3">
      <c r="A163" s="22"/>
      <c r="B163" s="22"/>
      <c r="C163" s="22"/>
      <c r="D163" s="23"/>
      <c r="E163" s="22"/>
      <c r="F163" s="22"/>
      <c r="G163" s="22"/>
      <c r="H163" s="22"/>
      <c r="I163" s="22"/>
      <c r="J163" s="23"/>
      <c r="K163" s="22"/>
      <c r="L163" s="22"/>
      <c r="M163" s="22"/>
      <c r="N163" s="22"/>
      <c r="O163" s="22"/>
      <c r="P163" s="23"/>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row>
    <row r="164" spans="1:42" x14ac:dyDescent="0.3">
      <c r="A164" s="22"/>
      <c r="B164" s="22"/>
      <c r="C164" s="22"/>
      <c r="D164" s="23"/>
      <c r="E164" s="22"/>
      <c r="F164" s="22"/>
      <c r="G164" s="22"/>
      <c r="H164" s="22"/>
      <c r="I164" s="22"/>
      <c r="J164" s="23"/>
      <c r="K164" s="22"/>
      <c r="L164" s="22"/>
      <c r="M164" s="22"/>
      <c r="N164" s="22"/>
      <c r="O164" s="22"/>
      <c r="P164" s="23"/>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row>
    <row r="165" spans="1:42" x14ac:dyDescent="0.3">
      <c r="A165" s="22"/>
      <c r="B165" s="22"/>
      <c r="C165" s="22"/>
      <c r="D165" s="23"/>
      <c r="E165" s="22"/>
      <c r="F165" s="22"/>
      <c r="G165" s="22"/>
      <c r="H165" s="22"/>
      <c r="I165" s="22"/>
      <c r="J165" s="23"/>
      <c r="K165" s="22"/>
      <c r="L165" s="22"/>
      <c r="M165" s="22"/>
      <c r="N165" s="22"/>
      <c r="O165" s="22"/>
      <c r="P165" s="23"/>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row>
    <row r="166" spans="1:42" x14ac:dyDescent="0.3">
      <c r="A166" s="22"/>
      <c r="B166" s="22"/>
      <c r="C166" s="22"/>
      <c r="D166" s="23"/>
      <c r="E166" s="22"/>
      <c r="F166" s="22"/>
      <c r="G166" s="22"/>
      <c r="H166" s="22"/>
      <c r="I166" s="22"/>
      <c r="J166" s="23"/>
      <c r="K166" s="22"/>
      <c r="L166" s="22"/>
      <c r="M166" s="22"/>
      <c r="N166" s="22"/>
      <c r="O166" s="22"/>
      <c r="P166" s="23"/>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row>
    <row r="167" spans="1:42" x14ac:dyDescent="0.3">
      <c r="A167" s="22"/>
      <c r="B167" s="22"/>
      <c r="C167" s="22"/>
      <c r="D167" s="23"/>
      <c r="E167" s="22"/>
      <c r="F167" s="22"/>
      <c r="G167" s="22"/>
      <c r="H167" s="22"/>
      <c r="I167" s="22"/>
      <c r="J167" s="23"/>
      <c r="K167" s="22"/>
      <c r="L167" s="22"/>
      <c r="M167" s="22"/>
      <c r="N167" s="22"/>
      <c r="O167" s="22"/>
      <c r="P167" s="23"/>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row>
    <row r="168" spans="1:42" x14ac:dyDescent="0.3">
      <c r="A168" s="22"/>
      <c r="B168" s="22"/>
      <c r="C168" s="22"/>
      <c r="D168" s="23"/>
      <c r="E168" s="22"/>
      <c r="F168" s="22"/>
      <c r="G168" s="22"/>
      <c r="H168" s="22"/>
      <c r="I168" s="22"/>
      <c r="J168" s="23"/>
      <c r="K168" s="22"/>
      <c r="L168" s="22"/>
      <c r="M168" s="22"/>
      <c r="N168" s="22"/>
      <c r="O168" s="22"/>
      <c r="P168" s="23"/>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row>
    <row r="169" spans="1:42" x14ac:dyDescent="0.3">
      <c r="A169" s="22"/>
      <c r="B169" s="22"/>
      <c r="C169" s="22"/>
      <c r="D169" s="23"/>
      <c r="E169" s="22"/>
      <c r="F169" s="22"/>
      <c r="G169" s="22"/>
      <c r="H169" s="22"/>
      <c r="I169" s="22"/>
      <c r="J169" s="23"/>
      <c r="K169" s="22"/>
      <c r="L169" s="22"/>
      <c r="M169" s="22"/>
      <c r="N169" s="22"/>
      <c r="O169" s="22"/>
      <c r="P169" s="23"/>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row>
    <row r="170" spans="1:42" x14ac:dyDescent="0.3">
      <c r="A170" s="22"/>
      <c r="B170" s="22"/>
      <c r="C170" s="22"/>
      <c r="D170" s="23"/>
      <c r="E170" s="22"/>
      <c r="F170" s="22"/>
      <c r="G170" s="22"/>
      <c r="H170" s="22"/>
      <c r="I170" s="22"/>
      <c r="J170" s="23"/>
      <c r="K170" s="22"/>
      <c r="L170" s="22"/>
      <c r="M170" s="22"/>
      <c r="N170" s="22"/>
      <c r="O170" s="22"/>
      <c r="P170" s="23"/>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row>
  </sheetData>
  <sheetProtection algorithmName="SHA-512" hashValue="1YcwC0ZhhX9Kfs+rrlAwyiOUVfxHdPF3UkYsqukyYORnT+hANs9+UEkuiqwEzMIF+x09zW0k5F9DEMxkm53ssg==" saltValue="pwM9hfKjHPJGDkVsK5vUmQ==" spinCount="100000" sheet="1" objects="1" scenarios="1" selectLockedCells="1"/>
  <mergeCells count="145">
    <mergeCell ref="N32:P32"/>
    <mergeCell ref="N33:P33"/>
    <mergeCell ref="C59:P59"/>
    <mergeCell ref="L60:M60"/>
    <mergeCell ref="N60:P60"/>
    <mergeCell ref="L61:M61"/>
    <mergeCell ref="L62:M62"/>
    <mergeCell ref="L63:M63"/>
    <mergeCell ref="L64:M64"/>
    <mergeCell ref="M56:N56"/>
    <mergeCell ref="C50:E50"/>
    <mergeCell ref="C40:E40"/>
    <mergeCell ref="C42:E42"/>
    <mergeCell ref="C44:E44"/>
    <mergeCell ref="C43:E43"/>
    <mergeCell ref="G54:H54"/>
    <mergeCell ref="G55:H55"/>
    <mergeCell ref="G53:H53"/>
    <mergeCell ref="G52:H52"/>
    <mergeCell ref="I55:L55"/>
    <mergeCell ref="I54:L54"/>
    <mergeCell ref="I53:L53"/>
    <mergeCell ref="I52:L52"/>
    <mergeCell ref="C54:E54"/>
    <mergeCell ref="L66:M66"/>
    <mergeCell ref="N61:P61"/>
    <mergeCell ref="N62:P62"/>
    <mergeCell ref="N63:P63"/>
    <mergeCell ref="N64:P64"/>
    <mergeCell ref="N65:P65"/>
    <mergeCell ref="N66:P66"/>
    <mergeCell ref="H61:K61"/>
    <mergeCell ref="H62:K62"/>
    <mergeCell ref="C66:E66"/>
    <mergeCell ref="F66:G66"/>
    <mergeCell ref="H66:K66"/>
    <mergeCell ref="C14:P14"/>
    <mergeCell ref="C15:H15"/>
    <mergeCell ref="I15:P15"/>
    <mergeCell ref="C25:P25"/>
    <mergeCell ref="C30:P30"/>
    <mergeCell ref="C63:E63"/>
    <mergeCell ref="F63:G63"/>
    <mergeCell ref="H63:K63"/>
    <mergeCell ref="C64:E64"/>
    <mergeCell ref="F64:G64"/>
    <mergeCell ref="H64:K64"/>
    <mergeCell ref="C65:E65"/>
    <mergeCell ref="F65:G65"/>
    <mergeCell ref="H65:K65"/>
    <mergeCell ref="C60:E60"/>
    <mergeCell ref="C61:E61"/>
    <mergeCell ref="F61:G61"/>
    <mergeCell ref="C51:E51"/>
    <mergeCell ref="C62:E62"/>
    <mergeCell ref="F62:G62"/>
    <mergeCell ref="L65:M65"/>
    <mergeCell ref="C53:E53"/>
    <mergeCell ref="C52:E52"/>
    <mergeCell ref="C56:E56"/>
    <mergeCell ref="G56:H56"/>
    <mergeCell ref="I56:L56"/>
    <mergeCell ref="C39:E39"/>
    <mergeCell ref="C41:E41"/>
    <mergeCell ref="C31:E31"/>
    <mergeCell ref="L33:M33"/>
    <mergeCell ref="H31:K31"/>
    <mergeCell ref="H33:K33"/>
    <mergeCell ref="M49:P49"/>
    <mergeCell ref="I49:L50"/>
    <mergeCell ref="F49:H49"/>
    <mergeCell ref="M51:N51"/>
    <mergeCell ref="O51:P51"/>
    <mergeCell ref="O52:P52"/>
    <mergeCell ref="O53:P53"/>
    <mergeCell ref="O54:P54"/>
    <mergeCell ref="C55:E55"/>
    <mergeCell ref="M55:N55"/>
    <mergeCell ref="O55:P55"/>
    <mergeCell ref="M50:N50"/>
    <mergeCell ref="O50:P50"/>
    <mergeCell ref="N31:P31"/>
    <mergeCell ref="C17:E17"/>
    <mergeCell ref="A4:A6"/>
    <mergeCell ref="F16:G17"/>
    <mergeCell ref="H16:J17"/>
    <mergeCell ref="H18:J18"/>
    <mergeCell ref="F18:G18"/>
    <mergeCell ref="F19:G19"/>
    <mergeCell ref="F20:G20"/>
    <mergeCell ref="F21:G21"/>
    <mergeCell ref="H20:J20"/>
    <mergeCell ref="H19:J19"/>
    <mergeCell ref="H22:J22"/>
    <mergeCell ref="H21:J21"/>
    <mergeCell ref="H23:J23"/>
    <mergeCell ref="L10:P10"/>
    <mergeCell ref="S4:S7"/>
    <mergeCell ref="H44:K44"/>
    <mergeCell ref="N44:P44"/>
    <mergeCell ref="H41:K41"/>
    <mergeCell ref="N41:P41"/>
    <mergeCell ref="H43:K43"/>
    <mergeCell ref="N43:P43"/>
    <mergeCell ref="F37:K37"/>
    <mergeCell ref="L37:P37"/>
    <mergeCell ref="H40:K40"/>
    <mergeCell ref="H42:K42"/>
    <mergeCell ref="N40:P40"/>
    <mergeCell ref="N42:P42"/>
    <mergeCell ref="F38:G38"/>
    <mergeCell ref="F44:G44"/>
    <mergeCell ref="F43:G43"/>
    <mergeCell ref="L31:M31"/>
    <mergeCell ref="L32:M32"/>
    <mergeCell ref="C36:P36"/>
    <mergeCell ref="C38:E38"/>
    <mergeCell ref="H38:K38"/>
    <mergeCell ref="N38:P38"/>
    <mergeCell ref="F22:G22"/>
    <mergeCell ref="F23:G23"/>
    <mergeCell ref="O56:P56"/>
    <mergeCell ref="H32:K32"/>
    <mergeCell ref="C32:G32"/>
    <mergeCell ref="C33:G33"/>
    <mergeCell ref="C48:P48"/>
    <mergeCell ref="L44:M44"/>
    <mergeCell ref="L43:M43"/>
    <mergeCell ref="L42:M42"/>
    <mergeCell ref="L41:M41"/>
    <mergeCell ref="L40:M40"/>
    <mergeCell ref="F42:G42"/>
    <mergeCell ref="F41:G41"/>
    <mergeCell ref="F40:G40"/>
    <mergeCell ref="F39:G39"/>
    <mergeCell ref="H39:K39"/>
    <mergeCell ref="L39:M39"/>
    <mergeCell ref="M54:N54"/>
    <mergeCell ref="M53:N53"/>
    <mergeCell ref="M52:N52"/>
    <mergeCell ref="N39:P39"/>
    <mergeCell ref="L38:M38"/>
    <mergeCell ref="I51:L51"/>
    <mergeCell ref="G50:H50"/>
    <mergeCell ref="G51:H51"/>
  </mergeCells>
  <conditionalFormatting sqref="C2:P6">
    <cfRule type="iconSet" priority="28">
      <iconSet iconSet="3Symbols" showValue="0">
        <cfvo type="percent" val="0"/>
        <cfvo type="num" val="1"/>
        <cfvo type="num" val="2"/>
      </iconSet>
    </cfRule>
  </conditionalFormatting>
  <conditionalFormatting sqref="D18:D23">
    <cfRule type="iconSet" priority="17">
      <iconSet iconSet="3Symbols" showValue="0">
        <cfvo type="percent" val="0"/>
        <cfvo type="num" val="1"/>
        <cfvo type="num" val="2"/>
      </iconSet>
    </cfRule>
  </conditionalFormatting>
  <conditionalFormatting sqref="H40:K44 N40:P44">
    <cfRule type="expression" dxfId="14" priority="4">
      <formula>AND(Basis_mod_eAWZ=TRUE,H40="")</formula>
    </cfRule>
    <cfRule type="expression" dxfId="13" priority="5">
      <formula>$H$40&lt;&gt;""</formula>
    </cfRule>
    <cfRule type="expression" dxfId="12" priority="13">
      <formula>Basis_mod_eAWZ=FALSE</formula>
    </cfRule>
  </conditionalFormatting>
  <conditionalFormatting sqref="N31:P31">
    <cfRule type="expression" dxfId="11" priority="3">
      <formula>EA_WG=FALSE</formula>
    </cfRule>
  </conditionalFormatting>
  <conditionalFormatting sqref="N32:P33">
    <cfRule type="expression" dxfId="10" priority="14">
      <formula>AND(EA_WG=FALSE,$N32&lt;&gt;"")</formula>
    </cfRule>
    <cfRule type="expression" dxfId="9" priority="15">
      <formula>$S32&lt;&gt;""</formula>
    </cfRule>
    <cfRule type="expression" dxfId="8" priority="16">
      <formula>AND(EA_WG=FALSE,$N32="")</formula>
    </cfRule>
  </conditionalFormatting>
  <conditionalFormatting sqref="N61:P66">
    <cfRule type="expression" dxfId="7" priority="6">
      <formula>AND(Basis_mod_Betrieb=FALSE,OR(EA_BGF&gt;=Basis_BGF_Grenze,EA_WG=FALSE))</formula>
    </cfRule>
    <cfRule type="expression" dxfId="6" priority="8">
      <formula>$S61&lt;&gt;""</formula>
    </cfRule>
    <cfRule type="expression" dxfId="5" priority="9">
      <formula>$N61&lt;&gt;""</formula>
    </cfRule>
  </conditionalFormatting>
  <conditionalFormatting sqref="O50:P50 N60:P60">
    <cfRule type="expression" dxfId="4" priority="1">
      <formula>OR(EA_WG=FALSE,EA_BGF&gt;=Basis_BGF_Grenze)</formula>
    </cfRule>
  </conditionalFormatting>
  <conditionalFormatting sqref="O51:P56">
    <cfRule type="expression" dxfId="3" priority="10">
      <formula>$S51&lt;&gt;""</formula>
    </cfRule>
    <cfRule type="expression" dxfId="2" priority="11">
      <formula>$O51&lt;&gt;""</formula>
    </cfRule>
    <cfRule type="expression" dxfId="1" priority="12">
      <formula>AND(Basis_mod_Energiekosten=FALSE,$C51&lt;&gt;"",OR(EA_BGF&gt;=Basis_BGF_Grenze,EA_WG=FALSE))</formula>
    </cfRule>
  </conditionalFormatting>
  <conditionalFormatting sqref="O52:P56 N62:P66">
    <cfRule type="expression" dxfId="0" priority="2">
      <formula>OR(EA_WG=FALSE,EA_BGF&gt;=Basis_BGF_Grenze)</formula>
    </cfRule>
  </conditionalFormatting>
  <dataValidations count="2">
    <dataValidation type="decimal" operator="greaterThan" allowBlank="1" showInputMessage="1" showErrorMessage="1" sqref="O51:P56 H39:K44 N39:P44 H61:K66" xr:uid="{00000000-0002-0000-0800-000000000000}">
      <formula1>0</formula1>
    </dataValidation>
    <dataValidation type="whole" allowBlank="1" showInputMessage="1" showErrorMessage="1" sqref="A10" xr:uid="{00000000-0002-0000-0800-00000100000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106</vt:i4>
      </vt:variant>
    </vt:vector>
  </HeadingPairs>
  <TitlesOfParts>
    <vt:vector size="120" baseType="lpstr">
      <vt:lpstr>A</vt:lpstr>
      <vt:lpstr>0</vt:lpstr>
      <vt:lpstr>1</vt:lpstr>
      <vt:lpstr>2</vt:lpstr>
      <vt:lpstr>3</vt:lpstr>
      <vt:lpstr>4</vt:lpstr>
      <vt:lpstr>5</vt:lpstr>
      <vt:lpstr>6</vt:lpstr>
      <vt:lpstr>7</vt:lpstr>
      <vt:lpstr>Auswahl</vt:lpstr>
      <vt:lpstr>Tabellen</vt:lpstr>
      <vt:lpstr>Texte</vt:lpstr>
      <vt:lpstr>tmp_Tabelle1</vt:lpstr>
      <vt:lpstr>tmp_energiepreise_test</vt:lpstr>
      <vt:lpstr>Basis_Barwertfaktor</vt:lpstr>
      <vt:lpstr>Basis_Barwertfaktor_Instandhaltung</vt:lpstr>
      <vt:lpstr>Basis_Barwertfaktor_Produkte</vt:lpstr>
      <vt:lpstr>Basis_Betrachtungszeitraum</vt:lpstr>
      <vt:lpstr>Basis_BGF_Grenze</vt:lpstr>
      <vt:lpstr>Basis_BK_calc</vt:lpstr>
      <vt:lpstr>Basis_BK_PV</vt:lpstr>
      <vt:lpstr>Basis_BK_TSA</vt:lpstr>
      <vt:lpstr>Basis_Diskontsatz</vt:lpstr>
      <vt:lpstr>Basis_Foerderung</vt:lpstr>
      <vt:lpstr>Basis_Inflation</vt:lpstr>
      <vt:lpstr>Basis_Kosten_CO2</vt:lpstr>
      <vt:lpstr>Basis_Lager</vt:lpstr>
      <vt:lpstr>Basis_Marktzins</vt:lpstr>
      <vt:lpstr>Basis_mod_Betrieb</vt:lpstr>
      <vt:lpstr>Basis_mod_eAWZ</vt:lpstr>
      <vt:lpstr>Basis_mod_Energieberechnung</vt:lpstr>
      <vt:lpstr>Basis_mod_Energiekosten</vt:lpstr>
      <vt:lpstr>Basis_mod_HWB</vt:lpstr>
      <vt:lpstr>Basis_mod_WWWB</vt:lpstr>
      <vt:lpstr>Basis_Preisentwicklung_Instandhaltung</vt:lpstr>
      <vt:lpstr>Basis_Preisentwicklung_Produkte</vt:lpstr>
      <vt:lpstr>Basis_Realzins</vt:lpstr>
      <vt:lpstr>Basis_Status</vt:lpstr>
      <vt:lpstr>Basis_Steuersatz</vt:lpstr>
      <vt:lpstr>Basis_WW_dezentral</vt:lpstr>
      <vt:lpstr>BestandRH_Select</vt:lpstr>
      <vt:lpstr>'0'!Druckbereich</vt:lpstr>
      <vt:lpstr>'1'!Druckbereich</vt:lpstr>
      <vt:lpstr>'2'!Druckbereich</vt:lpstr>
      <vt:lpstr>'3'!Druckbereich</vt:lpstr>
      <vt:lpstr>'4'!Druckbereich</vt:lpstr>
      <vt:lpstr>'5'!Druckbereich</vt:lpstr>
      <vt:lpstr>'6'!Druckbereich</vt:lpstr>
      <vt:lpstr>'7'!Druckbereich</vt:lpstr>
      <vt:lpstr>A!Druckbereich</vt:lpstr>
      <vt:lpstr>tmp_Tabelle1!Druckbereich</vt:lpstr>
      <vt:lpstr>EA_BGF</vt:lpstr>
      <vt:lpstr>EA_EAWZ_RH</vt:lpstr>
      <vt:lpstr>EA_EAWZ_RH_calc</vt:lpstr>
      <vt:lpstr>EA_EAWZ_WW</vt:lpstr>
      <vt:lpstr>EA_EAWZ_WW_calc</vt:lpstr>
      <vt:lpstr>EA_Kategorie</vt:lpstr>
      <vt:lpstr>EA_Kategorie_Select</vt:lpstr>
      <vt:lpstr>EA_Nachweis</vt:lpstr>
      <vt:lpstr>EA_PV_Ertrag</vt:lpstr>
      <vt:lpstr>EA_PV_Export</vt:lpstr>
      <vt:lpstr>EA_PV_Status</vt:lpstr>
      <vt:lpstr>EA_QhSK</vt:lpstr>
      <vt:lpstr>EA_QhSK_calc</vt:lpstr>
      <vt:lpstr>EA_Qtw_calc</vt:lpstr>
      <vt:lpstr>EA_RH_System</vt:lpstr>
      <vt:lpstr>EA_RH_System_Select</vt:lpstr>
      <vt:lpstr>EA_TSA</vt:lpstr>
      <vt:lpstr>EA_TSA_Select</vt:lpstr>
      <vt:lpstr>EA_TSA_Status</vt:lpstr>
      <vt:lpstr>EA_Vorhaben</vt:lpstr>
      <vt:lpstr>EA_WG</vt:lpstr>
      <vt:lpstr>EA_WW_System</vt:lpstr>
      <vt:lpstr>EA_WW_System_Select</vt:lpstr>
      <vt:lpstr>Jahr_Betrachtung</vt:lpstr>
      <vt:lpstr>Jahr_Kessel</vt:lpstr>
      <vt:lpstr>Komponenten_trigger</vt:lpstr>
      <vt:lpstr>Navigation</vt:lpstr>
      <vt:lpstr>Navigation_0</vt:lpstr>
      <vt:lpstr>Navigation_1</vt:lpstr>
      <vt:lpstr>Navigation_2</vt:lpstr>
      <vt:lpstr>Navigation_3</vt:lpstr>
      <vt:lpstr>Navigation_4</vt:lpstr>
      <vt:lpstr>Navigation_5</vt:lpstr>
      <vt:lpstr>Navigation_6</vt:lpstr>
      <vt:lpstr>Navigation_7</vt:lpstr>
      <vt:lpstr>Navigation_A</vt:lpstr>
      <vt:lpstr>Status_Systeme</vt:lpstr>
      <vt:lpstr>Tabelle_BestandRH</vt:lpstr>
      <vt:lpstr>Tabelle_Betriebskosten</vt:lpstr>
      <vt:lpstr>Tabelle_EAWZ_RH</vt:lpstr>
      <vt:lpstr>Tabelle_EAWZ_WW</vt:lpstr>
      <vt:lpstr>Tabelle_Energie</vt:lpstr>
      <vt:lpstr>Tabelle_Energietraeger</vt:lpstr>
      <vt:lpstr>Tabelle_Komponenten</vt:lpstr>
      <vt:lpstr>Tabelle_Kosten_Komponenten</vt:lpstr>
      <vt:lpstr>TBS_0_1</vt:lpstr>
      <vt:lpstr>TBS_7_1</vt:lpstr>
      <vt:lpstr>TBS_7_2</vt:lpstr>
      <vt:lpstr>TBS_7_3</vt:lpstr>
      <vt:lpstr>TBS_7_4</vt:lpstr>
      <vt:lpstr>TBS_7_5</vt:lpstr>
      <vt:lpstr>TBS_A_1</vt:lpstr>
      <vt:lpstr>TBS_A_2</vt:lpstr>
      <vt:lpstr>TBS_A_3</vt:lpstr>
      <vt:lpstr>TBS_A_4</vt:lpstr>
      <vt:lpstr>TBS_A_5</vt:lpstr>
      <vt:lpstr>TBS_A_6</vt:lpstr>
      <vt:lpstr>TBS_Fehler_1</vt:lpstr>
      <vt:lpstr>TBS_Fehler_2</vt:lpstr>
      <vt:lpstr>TBS_Fehler_3</vt:lpstr>
      <vt:lpstr>TBS_Fehler_4</vt:lpstr>
      <vt:lpstr>TBS_Systeme_1</vt:lpstr>
      <vt:lpstr>TBS_Systeme_2</vt:lpstr>
      <vt:lpstr>TBS_Systeme_3</vt:lpstr>
      <vt:lpstr>TBS_Systeme_4</vt:lpstr>
      <vt:lpstr>TBS_Systeme_5</vt:lpstr>
      <vt:lpstr>TBS_Systeme_6</vt:lpstr>
      <vt:lpstr>TBS_Systeme_7</vt:lpstr>
      <vt:lpstr>TBS_Systeme_8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Braito</dc:creator>
  <cp:lastModifiedBy>Daniel Embacher / Bauamt</cp:lastModifiedBy>
  <cp:lastPrinted>2020-07-20T05:11:17Z</cp:lastPrinted>
  <dcterms:created xsi:type="dcterms:W3CDTF">2015-06-05T18:19:34Z</dcterms:created>
  <dcterms:modified xsi:type="dcterms:W3CDTF">2024-03-04T07:33:48Z</dcterms:modified>
</cp:coreProperties>
</file>